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tables/table5.xml" ContentType="application/vnd.openxmlformats-officedocument.spreadsheetml.tab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tables/table6.xml" ContentType="application/vnd.openxmlformats-officedocument.spreadsheetml.tab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tables/table7.xml" ContentType="application/vnd.openxmlformats-officedocument.spreadsheetml.tab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tables/table8.xml" ContentType="application/vnd.openxmlformats-officedocument.spreadsheetml.tab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tables/table9.xml" ContentType="application/vnd.openxmlformats-officedocument.spreadsheetml.tab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xml"/>
  <Override PartName="/xl/tables/table10.xml" ContentType="application/vnd.openxmlformats-officedocument.spreadsheetml.tab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2.xml" ContentType="application/vnd.openxmlformats-officedocument.drawing+xml"/>
  <Override PartName="/xl/tables/table11.xml" ContentType="application/vnd.openxmlformats-officedocument.spreadsheetml.tab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xml"/>
  <Override PartName="/xl/tables/table12.xml" ContentType="application/vnd.openxmlformats-officedocument.spreadsheetml.tab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4.xml" ContentType="application/vnd.openxmlformats-officedocument.drawing+xml"/>
  <Override PartName="/xl/tables/table13.xml" ContentType="application/vnd.openxmlformats-officedocument.spreadsheetml.tab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5.xml" ContentType="application/vnd.openxmlformats-officedocument.drawing+xml"/>
  <Override PartName="/xl/tables/table14.xml" ContentType="application/vnd.openxmlformats-officedocument.spreadsheetml.tab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6.xml" ContentType="application/vnd.openxmlformats-officedocument.drawing+xml"/>
  <Override PartName="/xl/drawings/drawing17.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8.xml" ContentType="application/vnd.openxmlformats-officedocument.drawing+xml"/>
  <Override PartName="/xl/tables/table31.xml" ContentType="application/vnd.openxmlformats-officedocument.spreadsheetml.tab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updateLinks="never" codeName="ThisWorkbook" hidePivotFieldList="1" defaultThemeVersion="166925"/>
  <mc:AlternateContent xmlns:mc="http://schemas.openxmlformats.org/markup-compatibility/2006">
    <mc:Choice Requires="x15">
      <x15ac:absPath xmlns:x15ac="http://schemas.microsoft.com/office/spreadsheetml/2010/11/ac" url="C:\Users\pmuha\Desktop\Portfolio Management\Models\Netflix\"/>
    </mc:Choice>
  </mc:AlternateContent>
  <xr:revisionPtr revIDLastSave="0" documentId="13_ncr:1_{99C3AEC5-65B0-4407-BC1F-40D4046AF2CB}" xr6:coauthVersionLast="45" xr6:coauthVersionMax="45" xr10:uidLastSave="{00000000-0000-0000-0000-000000000000}"/>
  <bookViews>
    <workbookView xWindow="-120" yWindow="-120" windowWidth="38640" windowHeight="21120" activeTab="2" xr2:uid="{00000000-000D-0000-FFFF-FFFF00000000}"/>
  </bookViews>
  <sheets>
    <sheet name="Summary" sheetId="6" r:id="rId1"/>
    <sheet name="Comps" sheetId="42" r:id="rId2"/>
    <sheet name="DCF Model" sheetId="7" r:id="rId3"/>
    <sheet name="APAC Forecasts" sheetId="41" r:id="rId4"/>
    <sheet name="LATAM Forecasts" sheetId="40" r:id="rId5"/>
    <sheet name="EMEA Forecasts" sheetId="39" r:id="rId6"/>
    <sheet name="UCAN Forecasts" sheetId="38" r:id="rId7"/>
    <sheet name="Capex Forecasts" sheetId="36" r:id="rId8"/>
    <sheet name="PP&amp;E Forecasts" sheetId="35" r:id="rId9"/>
    <sheet name="Content Assets Forecast" sheetId="34" r:id="rId10"/>
    <sheet name="D&amp;A Forecasts" sheetId="33" r:id="rId11"/>
    <sheet name="Taxes Forecasts" sheetId="32" r:id="rId12"/>
    <sheet name="SGA Forecasts" sheetId="31" r:id="rId13"/>
    <sheet name="Tech and Dev Forecasts" sheetId="30" r:id="rId14"/>
    <sheet name="Marketing Forecasts" sheetId="29" r:id="rId15"/>
    <sheet name="COR Forecasts" sheetId="24" r:id="rId16"/>
    <sheet name="Revenue Forecasts" sheetId="28" r:id="rId17"/>
    <sheet name="Households by country" sheetId="19" r:id="rId18"/>
    <sheet name="DCF Data" sheetId="8" r:id="rId19"/>
    <sheet name="Peers Correlation" sheetId="9" r:id="rId20"/>
    <sheet name="Market Correlation" sheetId="18" r:id="rId21"/>
    <sheet name="CPI Correlation" sheetId="10" r:id="rId22"/>
    <sheet name="monthly pivot" sheetId="12" r:id="rId23"/>
    <sheet name="monthly" sheetId="11" r:id="rId24"/>
    <sheet name="Price History vs Q sub addition" sheetId="2" r:id="rId25"/>
    <sheet name="Income Statement" sheetId="13" r:id="rId26"/>
    <sheet name="Balance Sheet" sheetId="14" r:id="rId27"/>
    <sheet name="Cashflow" sheetId="15" r:id="rId28"/>
    <sheet name="Regional Information" sheetId="16" r:id="rId29"/>
    <sheet name="misc data" sheetId="17" r:id="rId30"/>
  </sheets>
  <definedNames>
    <definedName name="_xlchart.v1.0" hidden="1">'DCF Model'!$S$213:$S$215</definedName>
    <definedName name="_xlchart.v1.1" hidden="1">'DCF Model'!$V$213:$V$215</definedName>
    <definedName name="AS2DocOpenMode" hidden="1">"AS2DocumentEdit"</definedName>
    <definedName name="BalSheet" localSheetId="27" hidden="1">{"closed",#N/A,FALSE,"Consolidated Products - Budget";"expanded",#N/A,FALSE,"Consolidated Products - Budget"}</definedName>
    <definedName name="BalSheet" localSheetId="25" hidden="1">{"closed",#N/A,FALSE,"Consolidated Products - Budget";"expanded",#N/A,FALSE,"Consolidated Products - Budget"}</definedName>
    <definedName name="BalSheet" localSheetId="28" hidden="1">{"closed",#N/A,FALSE,"Consolidated Products - Budget";"expanded",#N/A,FALSE,"Consolidated Products - Budget"}</definedName>
    <definedName name="BalSheet" hidden="1">{"closed",#N/A,FALSE,"Consolidated Products - Budget";"expanded",#N/A,FALSE,"Consolidated Products - Budget"}</definedName>
    <definedName name="BS" localSheetId="27" hidden="1">{"closed",#N/A,FALSE,"Consolidated Products - Budget";"expanded",#N/A,FALSE,"Consolidated Products - Budget"}</definedName>
    <definedName name="BS" localSheetId="25" hidden="1">{"closed",#N/A,FALSE,"Consolidated Products - Budget";"expanded",#N/A,FALSE,"Consolidated Products - Budget"}</definedName>
    <definedName name="BS" localSheetId="28" hidden="1">{"closed",#N/A,FALSE,"Consolidated Products - Budget";"expanded",#N/A,FALSE,"Consolidated Products - Budget"}</definedName>
    <definedName name="BS" hidden="1">{"closed",#N/A,FALSE,"Consolidated Products - Budget";"expanded",#N/A,FALSE,"Consolidated Products - Budget"}</definedName>
    <definedName name="Cash" localSheetId="27" hidden="1">{"closed",#N/A,FALSE,"Consolidated Products - Budget";"expanded",#N/A,FALSE,"Consolidated Products - Budget"}</definedName>
    <definedName name="Cash" localSheetId="25" hidden="1">{"closed",#N/A,FALSE,"Consolidated Products - Budget";"expanded",#N/A,FALSE,"Consolidated Products - Budget"}</definedName>
    <definedName name="Cash" localSheetId="28" hidden="1">{"closed",#N/A,FALSE,"Consolidated Products - Budget";"expanded",#N/A,FALSE,"Consolidated Products - Budget"}</definedName>
    <definedName name="Cash" hidden="1">{"closed",#N/A,FALSE,"Consolidated Products - Budget";"expanded",#N/A,FALSE,"Consolidated Products - Budget"}</definedName>
    <definedName name="CIQWBGuid" hidden="1">"2cd8126d-26c3-430c-b7fa-a069e3a1fc62"</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MBV" localSheetId="27" hidden="1">{"closed",#N/A,FALSE,"Consolidated Products - Budget";"expanded",#N/A,FALSE,"Consolidated Products - Budget"}</definedName>
    <definedName name="MBV" localSheetId="25" hidden="1">{"closed",#N/A,FALSE,"Consolidated Products - Budget";"expanded",#N/A,FALSE,"Consolidated Products - Budget"}</definedName>
    <definedName name="MBV" localSheetId="28" hidden="1">{"closed",#N/A,FALSE,"Consolidated Products - Budget";"expanded",#N/A,FALSE,"Consolidated Products - Budget"}</definedName>
    <definedName name="MBV" hidden="1">{"closed",#N/A,FALSE,"Consolidated Products - Budget";"expanded",#N/A,FALSE,"Consolidated Products - Budget"}</definedName>
    <definedName name="Pivot2" localSheetId="27" hidden="1">{"closed",#N/A,FALSE,"Consolidated Products - Budget";"expanded",#N/A,FALSE,"Consolidated Products - Budget"}</definedName>
    <definedName name="Pivot2" localSheetId="25" hidden="1">{"closed",#N/A,FALSE,"Consolidated Products - Budget";"expanded",#N/A,FALSE,"Consolidated Products - Budget"}</definedName>
    <definedName name="Pivot2" localSheetId="28" hidden="1">{"closed",#N/A,FALSE,"Consolidated Products - Budget";"expanded",#N/A,FALSE,"Consolidated Products - Budget"}</definedName>
    <definedName name="Pivot2" hidden="1">{"closed",#N/A,FALSE,"Consolidated Products - Budget";"expanded",#N/A,FALSE,"Consolidated Products - Budget"}</definedName>
    <definedName name="PivotTable5.doc" localSheetId="27" hidden="1">#REF!</definedName>
    <definedName name="PivotTable5.doc" localSheetId="25" hidden="1">#REF!</definedName>
    <definedName name="PivotTable5.doc" localSheetId="28" hidden="1">#REF!</definedName>
    <definedName name="PivotTable5.doc" hidden="1">#REF!</definedName>
    <definedName name="PivotTable8.doc" localSheetId="27" hidden="1">#REF!</definedName>
    <definedName name="PivotTable8.doc" localSheetId="25" hidden="1">#REF!</definedName>
    <definedName name="PivotTable8.doc" localSheetId="28" hidden="1">#REF!</definedName>
    <definedName name="PivotTable8.doc" hidden="1">#REF!</definedName>
    <definedName name="summary" localSheetId="27" hidden="1">{"closed",#N/A,FALSE,"Consolidated Products - Budget";"expanded",#N/A,FALSE,"Consolidated Products - Budget"}</definedName>
    <definedName name="summary" localSheetId="25" hidden="1">{"closed",#N/A,FALSE,"Consolidated Products - Budget";"expanded",#N/A,FALSE,"Consolidated Products - Budget"}</definedName>
    <definedName name="summary" localSheetId="28" hidden="1">{"closed",#N/A,FALSE,"Consolidated Products - Budget";"expanded",#N/A,FALSE,"Consolidated Products - Budget"}</definedName>
    <definedName name="summary" hidden="1">{"closed",#N/A,FALSE,"Consolidated Products - Budget";"expanded",#N/A,FALSE,"Consolidated Products - Budget"}</definedName>
    <definedName name="wrn.prodcon." localSheetId="27" hidden="1">{"closed",#N/A,FALSE,"Consolidated Products - Budget";"expanded",#N/A,FALSE,"Consolidated Products - Budget"}</definedName>
    <definedName name="wrn.prodcon." localSheetId="25" hidden="1">{"closed",#N/A,FALSE,"Consolidated Products - Budget";"expanded",#N/A,FALSE,"Consolidated Products - Budget"}</definedName>
    <definedName name="wrn.prodcon." localSheetId="28" hidden="1">{"closed",#N/A,FALSE,"Consolidated Products - Budget";"expanded",#N/A,FALSE,"Consolidated Products - Budget"}</definedName>
    <definedName name="wrn.prodcon." hidden="1">{"closed",#N/A,FALSE,"Consolidated Products - Budget";"expanded",#N/A,FALSE,"Consolidated Products - Budget"}</definedName>
    <definedName name="XRefCopy1" localSheetId="27" hidden="1">#REF!</definedName>
    <definedName name="XRefCopy1" localSheetId="25" hidden="1">#REF!</definedName>
    <definedName name="XRefCopy1" localSheetId="28" hidden="1">#REF!</definedName>
    <definedName name="XRefCopy1" hidden="1">#REF!</definedName>
    <definedName name="XRefCopy2" localSheetId="27" hidden="1">#REF!</definedName>
    <definedName name="XRefCopy2" localSheetId="25" hidden="1">#REF!</definedName>
    <definedName name="XRefCopy2" localSheetId="28" hidden="1">#REF!</definedName>
    <definedName name="XRefCopy2" hidden="1">#REF!</definedName>
    <definedName name="XRefCopyRangeCount" hidden="1">2</definedName>
  </definedNames>
  <calcPr calcId="191029"/>
  <pivotCaches>
    <pivotCache cacheId="3" r:id="rId31"/>
    <pivotCache cacheId="4" r:id="rId3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43" i="7" l="1"/>
  <c r="Q93" i="7" l="1"/>
  <c r="K54" i="7" a="1"/>
  <c r="K54" i="7" s="1"/>
  <c r="J214" i="7"/>
  <c r="I17" i="42" l="1"/>
  <c r="H17" i="42"/>
  <c r="G17" i="42"/>
  <c r="F17" i="42"/>
  <c r="I16" i="42"/>
  <c r="H16" i="42"/>
  <c r="G16" i="42"/>
  <c r="F16" i="42"/>
  <c r="G15" i="42"/>
  <c r="H15" i="42"/>
  <c r="I15" i="42"/>
  <c r="F15" i="42"/>
  <c r="Q92" i="7"/>
  <c r="Q94" i="7"/>
  <c r="J102" i="7" l="1"/>
  <c r="J101" i="7"/>
  <c r="J100" i="7"/>
  <c r="J98" i="7"/>
  <c r="J99" i="7"/>
  <c r="J88" i="7"/>
  <c r="Q88" i="7" s="1"/>
  <c r="G27" i="2"/>
  <c r="G28" i="2"/>
  <c r="G29" i="2"/>
  <c r="G30" i="2"/>
  <c r="G31" i="2"/>
  <c r="G32" i="2"/>
  <c r="G33" i="2"/>
  <c r="G34" i="2"/>
  <c r="G35" i="2"/>
  <c r="G36" i="2"/>
  <c r="G37" i="2"/>
  <c r="C27" i="2"/>
  <c r="C28" i="2"/>
  <c r="C29" i="2"/>
  <c r="C30" i="2"/>
  <c r="C31" i="2"/>
  <c r="C32" i="2"/>
  <c r="C33" i="2"/>
  <c r="C34" i="2"/>
  <c r="C35" i="2"/>
  <c r="C36" i="2"/>
  <c r="C37" i="2"/>
  <c r="C26" i="2"/>
  <c r="K26" i="2"/>
  <c r="J26" i="2"/>
  <c r="P9" i="2"/>
  <c r="P16" i="2"/>
  <c r="P15" i="2"/>
  <c r="P14" i="2"/>
  <c r="P13" i="2"/>
  <c r="P12" i="2"/>
  <c r="P11" i="2"/>
  <c r="P10" i="2"/>
  <c r="P8" i="2"/>
  <c r="P7" i="2"/>
  <c r="P6" i="2"/>
  <c r="P5" i="2"/>
  <c r="D37" i="2"/>
  <c r="J27" i="2" s="1"/>
  <c r="C7" i="41"/>
  <c r="C8" i="41"/>
  <c r="C13" i="41"/>
  <c r="C9" i="41"/>
  <c r="C10" i="41"/>
  <c r="C11" i="41"/>
  <c r="C12" i="41"/>
  <c r="C7" i="40"/>
  <c r="C11" i="40"/>
  <c r="D7" i="40"/>
  <c r="D8" i="40"/>
  <c r="D10" i="40"/>
  <c r="D11" i="40"/>
  <c r="D13" i="40"/>
  <c r="C8" i="40"/>
  <c r="C12" i="40"/>
  <c r="C13" i="40"/>
  <c r="D9" i="40"/>
  <c r="D12" i="40"/>
  <c r="C9" i="40"/>
  <c r="C10" i="40"/>
  <c r="C7" i="39"/>
  <c r="C12" i="39"/>
  <c r="D9" i="39"/>
  <c r="D12" i="39"/>
  <c r="C8" i="39"/>
  <c r="C13" i="39"/>
  <c r="D8" i="39"/>
  <c r="D11" i="39"/>
  <c r="C9" i="39"/>
  <c r="D7" i="39"/>
  <c r="D10" i="39"/>
  <c r="D13" i="39"/>
  <c r="C10" i="39"/>
  <c r="C11" i="39"/>
  <c r="C7" i="38"/>
  <c r="C11" i="38"/>
  <c r="C13" i="38"/>
  <c r="C8" i="38"/>
  <c r="C12" i="38"/>
  <c r="C9" i="38"/>
  <c r="C10" i="38"/>
  <c r="C7" i="36"/>
  <c r="C13" i="36"/>
  <c r="D11" i="36"/>
  <c r="C8" i="36"/>
  <c r="D7" i="36"/>
  <c r="D9" i="36"/>
  <c r="D12" i="36"/>
  <c r="C9" i="36"/>
  <c r="D8" i="36"/>
  <c r="D10" i="36"/>
  <c r="D13" i="36"/>
  <c r="C10" i="36"/>
  <c r="C11" i="36"/>
  <c r="C12" i="36"/>
  <c r="C8" i="35"/>
  <c r="D11" i="35"/>
  <c r="C9" i="35"/>
  <c r="D9" i="35"/>
  <c r="C10" i="35"/>
  <c r="D8" i="35"/>
  <c r="D12" i="35"/>
  <c r="C11" i="35"/>
  <c r="D10" i="35"/>
  <c r="C12" i="35"/>
  <c r="D14" i="35"/>
  <c r="C13" i="35"/>
  <c r="C14" i="35"/>
  <c r="D13" i="35"/>
  <c r="C8" i="34"/>
  <c r="D9" i="34"/>
  <c r="C9" i="34"/>
  <c r="C13" i="34"/>
  <c r="D10" i="34"/>
  <c r="C10" i="34"/>
  <c r="C14" i="34"/>
  <c r="D11" i="34"/>
  <c r="C11" i="34"/>
  <c r="D8" i="34"/>
  <c r="D14" i="34"/>
  <c r="C12" i="34"/>
  <c r="D12" i="34"/>
  <c r="D13" i="34"/>
  <c r="C8" i="33"/>
  <c r="D9" i="33"/>
  <c r="D12" i="33"/>
  <c r="C9" i="33"/>
  <c r="C13" i="33"/>
  <c r="C10" i="33"/>
  <c r="C12" i="33"/>
  <c r="C14" i="33"/>
  <c r="D11" i="33"/>
  <c r="C11" i="33"/>
  <c r="D8" i="33"/>
  <c r="D13" i="33"/>
  <c r="D10" i="33"/>
  <c r="D14" i="33"/>
  <c r="C8" i="32"/>
  <c r="C14" i="32"/>
  <c r="D9" i="32"/>
  <c r="C9" i="32"/>
  <c r="D8" i="32"/>
  <c r="D10" i="32"/>
  <c r="C10" i="32"/>
  <c r="D12" i="32"/>
  <c r="C11" i="32"/>
  <c r="D11" i="32"/>
  <c r="D14" i="32"/>
  <c r="C12" i="32"/>
  <c r="D13" i="32"/>
  <c r="C13" i="32"/>
  <c r="C8" i="31"/>
  <c r="D11" i="31"/>
  <c r="C9" i="31"/>
  <c r="C14" i="31"/>
  <c r="C10" i="31"/>
  <c r="D8" i="31"/>
  <c r="D14" i="31"/>
  <c r="C11" i="31"/>
  <c r="D9" i="31"/>
  <c r="D13" i="31"/>
  <c r="C12" i="31"/>
  <c r="D12" i="31"/>
  <c r="C13" i="31"/>
  <c r="D10" i="31"/>
  <c r="C8" i="30"/>
  <c r="D9" i="30"/>
  <c r="D13" i="30"/>
  <c r="C9" i="30"/>
  <c r="D8" i="30"/>
  <c r="C10" i="30"/>
  <c r="C14" i="30"/>
  <c r="D11" i="30"/>
  <c r="C11" i="30"/>
  <c r="D10" i="30"/>
  <c r="D12" i="30"/>
  <c r="C12" i="30"/>
  <c r="D14" i="30"/>
  <c r="C13" i="30"/>
  <c r="C8" i="29"/>
  <c r="C12" i="29"/>
  <c r="C14" i="29"/>
  <c r="D8" i="29"/>
  <c r="D10" i="29"/>
  <c r="D13" i="29"/>
  <c r="C9" i="29"/>
  <c r="C13" i="29"/>
  <c r="D9" i="29"/>
  <c r="D11" i="29"/>
  <c r="D14" i="29"/>
  <c r="C10" i="29"/>
  <c r="C11" i="29"/>
  <c r="D12" i="29"/>
  <c r="C8" i="28"/>
  <c r="D13" i="28"/>
  <c r="C9" i="28"/>
  <c r="D8" i="28"/>
  <c r="D11" i="28"/>
  <c r="C10" i="28"/>
  <c r="D9" i="28"/>
  <c r="C11" i="28"/>
  <c r="D10" i="28"/>
  <c r="D14" i="28"/>
  <c r="C12" i="28"/>
  <c r="C14" i="28"/>
  <c r="D12" i="28"/>
  <c r="C13" i="28"/>
  <c r="C8" i="24"/>
  <c r="D8" i="24"/>
  <c r="C9" i="24"/>
  <c r="D10" i="24"/>
  <c r="C10" i="24"/>
  <c r="D14" i="24"/>
  <c r="C11" i="24"/>
  <c r="D9" i="24"/>
  <c r="D13" i="24"/>
  <c r="C12" i="24"/>
  <c r="C14" i="24"/>
  <c r="D11" i="24"/>
  <c r="C13" i="24"/>
  <c r="D12" i="24"/>
  <c r="E26" i="2"/>
  <c r="K27" i="2" l="1"/>
  <c r="F26" i="2" s="1"/>
  <c r="Q59" i="16"/>
  <c r="P59" i="16"/>
  <c r="O59" i="16"/>
  <c r="N59" i="16"/>
  <c r="M59" i="16"/>
  <c r="L59" i="16"/>
  <c r="K59" i="16"/>
  <c r="J59" i="16"/>
  <c r="I59" i="16"/>
  <c r="H59" i="16"/>
  <c r="G59" i="16"/>
  <c r="H58" i="16"/>
  <c r="I58" i="16"/>
  <c r="J58" i="16"/>
  <c r="K58" i="16"/>
  <c r="L58" i="16"/>
  <c r="M58" i="16"/>
  <c r="N58" i="16"/>
  <c r="O58" i="16"/>
  <c r="P58" i="16"/>
  <c r="Q58" i="16"/>
  <c r="G58" i="16"/>
  <c r="D12" i="41"/>
  <c r="E11" i="41"/>
  <c r="E10" i="41"/>
  <c r="E13" i="41"/>
  <c r="D8" i="41"/>
  <c r="D7" i="41"/>
  <c r="E7" i="41"/>
  <c r="E12" i="41"/>
  <c r="D11" i="41"/>
  <c r="D10" i="41"/>
  <c r="E9" i="41"/>
  <c r="D13" i="41"/>
  <c r="E8" i="41"/>
  <c r="D9" i="41"/>
  <c r="D10" i="38"/>
  <c r="E9" i="38"/>
  <c r="D9" i="38"/>
  <c r="E12" i="38"/>
  <c r="D12" i="38"/>
  <c r="D8" i="38"/>
  <c r="E8" i="38"/>
  <c r="D13" i="38"/>
  <c r="E13" i="38"/>
  <c r="E11" i="38"/>
  <c r="D11" i="38"/>
  <c r="D7" i="38"/>
  <c r="E7" i="38"/>
  <c r="E10" i="38"/>
  <c r="E36" i="2"/>
  <c r="E31" i="2"/>
  <c r="E28" i="2"/>
  <c r="E35" i="2"/>
  <c r="E30" i="2"/>
  <c r="E34" i="2"/>
  <c r="E33" i="2"/>
  <c r="E27" i="2"/>
  <c r="E32" i="2"/>
  <c r="E29" i="2"/>
  <c r="F32" i="2" l="1"/>
  <c r="F30" i="2"/>
  <c r="F33" i="2"/>
  <c r="F34" i="2"/>
  <c r="F31" i="2"/>
  <c r="F35" i="2"/>
  <c r="F37" i="2"/>
  <c r="F29" i="2"/>
  <c r="F28" i="2"/>
  <c r="F36" i="2"/>
  <c r="F27" i="2"/>
  <c r="R47" i="16"/>
  <c r="R36" i="16"/>
  <c r="R25" i="16"/>
  <c r="R12" i="16"/>
  <c r="P12" i="16"/>
  <c r="P25" i="16"/>
  <c r="P36" i="16"/>
  <c r="P35" i="16"/>
  <c r="Q47" i="16"/>
  <c r="O47" i="16"/>
  <c r="N47" i="16"/>
  <c r="M47" i="16"/>
  <c r="L47" i="16"/>
  <c r="Q36" i="16"/>
  <c r="O36" i="16"/>
  <c r="N36" i="16"/>
  <c r="M36" i="16"/>
  <c r="L36" i="16"/>
  <c r="Q25" i="16"/>
  <c r="O25" i="16"/>
  <c r="N25" i="16"/>
  <c r="M25" i="16"/>
  <c r="L25" i="16"/>
  <c r="Q12" i="16"/>
  <c r="Q15" i="16"/>
  <c r="O15" i="16"/>
  <c r="N15" i="16"/>
  <c r="M15" i="16"/>
  <c r="L15" i="16"/>
  <c r="O14" i="16"/>
  <c r="N14" i="16"/>
  <c r="M14" i="16"/>
  <c r="J14" i="16"/>
  <c r="I14" i="16"/>
  <c r="H14" i="16"/>
  <c r="O12" i="16"/>
  <c r="N12" i="16"/>
  <c r="M12" i="16"/>
  <c r="L12" i="16"/>
  <c r="Q153" i="7" l="1"/>
  <c r="Q151" i="7"/>
  <c r="J49" i="7"/>
  <c r="T13" i="15" l="1"/>
  <c r="P11" i="7"/>
  <c r="N8" i="7"/>
  <c r="N7" i="7"/>
  <c r="N6" i="7"/>
  <c r="I10" i="7"/>
  <c r="G9" i="7"/>
  <c r="G8" i="7"/>
  <c r="I8" i="7" s="1"/>
  <c r="G7" i="7"/>
  <c r="I7" i="7" s="1"/>
  <c r="G6" i="7"/>
  <c r="I6" i="7" s="1"/>
  <c r="H9" i="7"/>
  <c r="H11" i="7" s="1"/>
  <c r="L22" i="7" s="1"/>
  <c r="L23" i="7" s="1"/>
  <c r="M18" i="7" s="1"/>
  <c r="J9" i="7"/>
  <c r="J7" i="7"/>
  <c r="J8" i="7"/>
  <c r="J6" i="7"/>
  <c r="D12" i="7"/>
  <c r="D13" i="7"/>
  <c r="D122" i="7"/>
  <c r="I124" i="7"/>
  <c r="H124" i="7"/>
  <c r="F67" i="8"/>
  <c r="F66" i="8"/>
  <c r="F65" i="8"/>
  <c r="F64" i="8"/>
  <c r="G64" i="8" s="1"/>
  <c r="F63" i="8"/>
  <c r="G63" i="8" s="1"/>
  <c r="F62" i="8"/>
  <c r="G62" i="8"/>
  <c r="G68" i="8" s="1"/>
  <c r="G66" i="8"/>
  <c r="G65" i="8"/>
  <c r="R44" i="8"/>
  <c r="Q11" i="13"/>
  <c r="Q9" i="13"/>
  <c r="P11" i="13"/>
  <c r="N11" i="13"/>
  <c r="E72" i="7"/>
  <c r="F72" i="7"/>
  <c r="G72" i="7"/>
  <c r="E66" i="7"/>
  <c r="F66" i="7"/>
  <c r="G66" i="7"/>
  <c r="F60" i="7"/>
  <c r="E60" i="7"/>
  <c r="G60" i="7"/>
  <c r="E54" i="7"/>
  <c r="F54" i="7"/>
  <c r="G54" i="7"/>
  <c r="J42" i="7" l="1"/>
  <c r="J41" i="7" s="1"/>
  <c r="K44" i="7"/>
  <c r="J211" i="7"/>
  <c r="D210" i="7"/>
  <c r="J210" i="7"/>
  <c r="D211" i="7"/>
  <c r="K6" i="7"/>
  <c r="K8" i="7"/>
  <c r="N9" i="7"/>
  <c r="S11" i="7"/>
  <c r="M21" i="7"/>
  <c r="M22" i="7"/>
  <c r="M20" i="7"/>
  <c r="M19" i="7"/>
  <c r="I9" i="7"/>
  <c r="K7" i="7"/>
  <c r="J10" i="7"/>
  <c r="K9" i="7"/>
  <c r="G11" i="7"/>
  <c r="F74" i="7"/>
  <c r="E81" i="7"/>
  <c r="F62" i="7"/>
  <c r="G68" i="7"/>
  <c r="G56" i="7"/>
  <c r="G74" i="7"/>
  <c r="F56" i="7"/>
  <c r="G62" i="7"/>
  <c r="F81" i="7"/>
  <c r="G81" i="7"/>
  <c r="F68" i="7"/>
  <c r="N11" i="7" l="1"/>
  <c r="Q9" i="7" s="1"/>
  <c r="J11" i="7"/>
  <c r="K11" i="7" s="1"/>
  <c r="M23" i="7"/>
  <c r="I11" i="7"/>
  <c r="K10" i="7"/>
  <c r="R45" i="8"/>
  <c r="R46" i="8"/>
  <c r="R47" i="8"/>
  <c r="V47" i="8" s="1"/>
  <c r="R48" i="8"/>
  <c r="R49" i="8"/>
  <c r="R50" i="8"/>
  <c r="R51" i="8"/>
  <c r="R52" i="8"/>
  <c r="V52" i="8" s="1"/>
  <c r="R53" i="8"/>
  <c r="R54" i="8"/>
  <c r="R55" i="8"/>
  <c r="R56" i="8"/>
  <c r="V56" i="8" s="1"/>
  <c r="S44" i="8"/>
  <c r="G44" i="8"/>
  <c r="G57" i="8" s="1"/>
  <c r="G45" i="8"/>
  <c r="S45" i="8"/>
  <c r="G46" i="8"/>
  <c r="G47" i="8"/>
  <c r="G48" i="8"/>
  <c r="G49" i="8"/>
  <c r="G50" i="8"/>
  <c r="G51" i="8"/>
  <c r="G52" i="8"/>
  <c r="G53" i="8"/>
  <c r="G54" i="8"/>
  <c r="G55" i="8"/>
  <c r="O55" i="8"/>
  <c r="K55" i="8"/>
  <c r="O54" i="8"/>
  <c r="K54" i="8"/>
  <c r="O53" i="8"/>
  <c r="K53" i="8"/>
  <c r="O52" i="8"/>
  <c r="K52" i="8"/>
  <c r="O51" i="8"/>
  <c r="K51" i="8"/>
  <c r="O50" i="8"/>
  <c r="K50" i="8"/>
  <c r="O49" i="8"/>
  <c r="K49" i="8"/>
  <c r="O48" i="8"/>
  <c r="K48" i="8"/>
  <c r="O47" i="8"/>
  <c r="K47" i="8"/>
  <c r="O46" i="8"/>
  <c r="K46" i="8"/>
  <c r="O45" i="8"/>
  <c r="K45" i="8"/>
  <c r="O44" i="8"/>
  <c r="K44" i="8"/>
  <c r="N27" i="8"/>
  <c r="O26" i="8" s="1"/>
  <c r="J27" i="8"/>
  <c r="K27" i="8" s="1"/>
  <c r="G131" i="7"/>
  <c r="F131" i="7"/>
  <c r="E131" i="7"/>
  <c r="D131" i="7"/>
  <c r="E122" i="7"/>
  <c r="F122" i="7"/>
  <c r="D113" i="7"/>
  <c r="E113" i="7"/>
  <c r="F113" i="7"/>
  <c r="F115" i="7" s="1"/>
  <c r="G113" i="7"/>
  <c r="S23" i="8"/>
  <c r="W34" i="8"/>
  <c r="W33" i="8"/>
  <c r="W32" i="8"/>
  <c r="W31" i="8"/>
  <c r="W30" i="8"/>
  <c r="W29" i="8"/>
  <c r="W28" i="8"/>
  <c r="W27" i="8"/>
  <c r="W26" i="8"/>
  <c r="W25" i="8"/>
  <c r="W24" i="8"/>
  <c r="W23" i="8"/>
  <c r="S34" i="8"/>
  <c r="S33" i="8"/>
  <c r="S32" i="8"/>
  <c r="S31" i="8"/>
  <c r="S30" i="8"/>
  <c r="S29" i="8"/>
  <c r="S28" i="8"/>
  <c r="S27" i="8"/>
  <c r="S26" i="8"/>
  <c r="S25" i="8"/>
  <c r="S24" i="8"/>
  <c r="K23" i="8"/>
  <c r="K24" i="8"/>
  <c r="K25" i="8"/>
  <c r="K26" i="8"/>
  <c r="K28" i="8"/>
  <c r="K29" i="8"/>
  <c r="K30" i="8"/>
  <c r="K31" i="8"/>
  <c r="K32" i="8"/>
  <c r="K33" i="8"/>
  <c r="K34" i="8"/>
  <c r="O34" i="8"/>
  <c r="O33" i="8"/>
  <c r="O32" i="8"/>
  <c r="O31" i="8"/>
  <c r="O30" i="8"/>
  <c r="O29" i="8"/>
  <c r="O28" i="8"/>
  <c r="O27" i="8"/>
  <c r="O25" i="8"/>
  <c r="O24" i="8"/>
  <c r="O23" i="8"/>
  <c r="R9" i="7" l="1"/>
  <c r="R10" i="7"/>
  <c r="Q6" i="7"/>
  <c r="Q7" i="7"/>
  <c r="R7" i="7"/>
  <c r="T7" i="7" s="1"/>
  <c r="Q8" i="7"/>
  <c r="F133" i="7"/>
  <c r="G133" i="7"/>
  <c r="R8" i="7"/>
  <c r="E133" i="7"/>
  <c r="T9" i="7"/>
  <c r="O9" i="7" s="1"/>
  <c r="Q10" i="7"/>
  <c r="T10" i="7" s="1"/>
  <c r="O10" i="7" s="1"/>
  <c r="R6" i="7"/>
  <c r="T6" i="7"/>
  <c r="G115" i="7"/>
  <c r="E124" i="7"/>
  <c r="J122" i="7"/>
  <c r="F124" i="7"/>
  <c r="G124" i="7"/>
  <c r="V54" i="8"/>
  <c r="V53" i="8"/>
  <c r="W53" i="8" s="1"/>
  <c r="W52" i="8"/>
  <c r="V50" i="8"/>
  <c r="V49" i="8"/>
  <c r="V55" i="8"/>
  <c r="W55" i="8" s="1"/>
  <c r="S50" i="8"/>
  <c r="V51" i="8"/>
  <c r="W51" i="8" s="1"/>
  <c r="V48" i="8"/>
  <c r="W47" i="8"/>
  <c r="V46" i="8"/>
  <c r="V45" i="8"/>
  <c r="V44" i="8"/>
  <c r="S46" i="8"/>
  <c r="S51" i="8"/>
  <c r="S53" i="8"/>
  <c r="S49" i="8"/>
  <c r="S48" i="8"/>
  <c r="O57" i="8"/>
  <c r="K57" i="8"/>
  <c r="S55" i="8"/>
  <c r="S47" i="8"/>
  <c r="S52" i="8"/>
  <c r="S54" i="8"/>
  <c r="G141" i="7"/>
  <c r="D141" i="7"/>
  <c r="E141" i="7"/>
  <c r="F141" i="7"/>
  <c r="J209" i="7"/>
  <c r="J212" i="7" s="1"/>
  <c r="J203" i="7" s="1"/>
  <c r="J205" i="7" s="1"/>
  <c r="W36" i="8"/>
  <c r="S36" i="8"/>
  <c r="O36" i="8"/>
  <c r="C55" i="8"/>
  <c r="C54" i="8"/>
  <c r="C53" i="8"/>
  <c r="C52" i="8"/>
  <c r="C51" i="8"/>
  <c r="C50" i="8"/>
  <c r="C49" i="8"/>
  <c r="C48" i="8"/>
  <c r="C47" i="8"/>
  <c r="C46" i="8"/>
  <c r="C45" i="8"/>
  <c r="C44" i="8"/>
  <c r="H131" i="7"/>
  <c r="I131" i="7"/>
  <c r="H113" i="7"/>
  <c r="I113" i="7"/>
  <c r="I72" i="7"/>
  <c r="H72" i="7"/>
  <c r="Q42" i="7"/>
  <c r="Q41" i="7" s="1"/>
  <c r="O11" i="13"/>
  <c r="I42" i="7"/>
  <c r="K43" i="7"/>
  <c r="K42" i="7" s="1"/>
  <c r="Q11" i="16"/>
  <c r="P11" i="16"/>
  <c r="O11" i="16"/>
  <c r="N11" i="16"/>
  <c r="M11" i="16"/>
  <c r="L11" i="16"/>
  <c r="J11" i="16"/>
  <c r="I11" i="16"/>
  <c r="H11" i="16"/>
  <c r="Q24" i="16"/>
  <c r="O24" i="16"/>
  <c r="N24" i="16"/>
  <c r="M24" i="16"/>
  <c r="L24" i="16"/>
  <c r="J24" i="16"/>
  <c r="I24" i="16"/>
  <c r="H24" i="16"/>
  <c r="Q35" i="16"/>
  <c r="O35" i="16"/>
  <c r="N35" i="16"/>
  <c r="M35" i="16"/>
  <c r="L35" i="16"/>
  <c r="J35" i="16"/>
  <c r="I35" i="16"/>
  <c r="H35" i="16"/>
  <c r="Q46" i="16"/>
  <c r="P46" i="16"/>
  <c r="O46" i="16"/>
  <c r="N46" i="16"/>
  <c r="M46" i="16"/>
  <c r="L46" i="16"/>
  <c r="J46" i="16"/>
  <c r="I46" i="16"/>
  <c r="H46" i="16"/>
  <c r="P49" i="16"/>
  <c r="K49" i="16"/>
  <c r="P48" i="16"/>
  <c r="K48" i="16"/>
  <c r="P45" i="16"/>
  <c r="K45" i="16"/>
  <c r="P38" i="16"/>
  <c r="K38" i="16"/>
  <c r="P37" i="16"/>
  <c r="K37" i="16"/>
  <c r="P34" i="16"/>
  <c r="I66" i="7" s="1"/>
  <c r="K34" i="16"/>
  <c r="H66" i="7" s="1"/>
  <c r="H68" i="7" s="1"/>
  <c r="P27" i="16"/>
  <c r="K27" i="16"/>
  <c r="P26" i="16"/>
  <c r="K26" i="16"/>
  <c r="P23" i="16"/>
  <c r="I60" i="7" s="1"/>
  <c r="K23" i="16"/>
  <c r="H60" i="7" s="1"/>
  <c r="H62" i="7" s="1"/>
  <c r="P16" i="16"/>
  <c r="K16" i="16"/>
  <c r="P13" i="16"/>
  <c r="K13" i="16"/>
  <c r="P10" i="16"/>
  <c r="I54" i="7" s="1"/>
  <c r="K10" i="16"/>
  <c r="H54" i="7" s="1"/>
  <c r="H56" i="7" s="1"/>
  <c r="R50" i="15"/>
  <c r="K50" i="15"/>
  <c r="P49" i="15"/>
  <c r="O49" i="15"/>
  <c r="N49" i="15"/>
  <c r="M49" i="15"/>
  <c r="Q49" i="15" s="1"/>
  <c r="K49" i="15"/>
  <c r="J49" i="15"/>
  <c r="I49" i="15"/>
  <c r="H49" i="15"/>
  <c r="L49" i="15" s="1"/>
  <c r="P48" i="15"/>
  <c r="O48" i="15"/>
  <c r="Q48" i="15" s="1"/>
  <c r="N48" i="15"/>
  <c r="M48" i="15"/>
  <c r="K48" i="15"/>
  <c r="J48" i="15"/>
  <c r="I48" i="15"/>
  <c r="H48" i="15"/>
  <c r="L48" i="15" s="1"/>
  <c r="K47" i="15"/>
  <c r="J47" i="15"/>
  <c r="J50" i="15" s="1"/>
  <c r="I47" i="15"/>
  <c r="I50" i="15" s="1"/>
  <c r="R44" i="15"/>
  <c r="P44" i="15"/>
  <c r="O44" i="15"/>
  <c r="N44" i="15"/>
  <c r="M44" i="15"/>
  <c r="K44" i="15"/>
  <c r="J44" i="15"/>
  <c r="I44" i="15"/>
  <c r="H44" i="15"/>
  <c r="Q42" i="15"/>
  <c r="L42" i="15"/>
  <c r="L44" i="15" s="1"/>
  <c r="Q43" i="15" s="1"/>
  <c r="Q41" i="15"/>
  <c r="L41" i="15"/>
  <c r="R39" i="15"/>
  <c r="P39" i="15"/>
  <c r="O39" i="15"/>
  <c r="N39" i="15"/>
  <c r="M39" i="15"/>
  <c r="K39" i="15"/>
  <c r="J39" i="15"/>
  <c r="I39" i="15"/>
  <c r="H39" i="15"/>
  <c r="Q38" i="15"/>
  <c r="L38" i="15"/>
  <c r="Q37" i="15"/>
  <c r="L37" i="15"/>
  <c r="Q36" i="15"/>
  <c r="L36" i="15"/>
  <c r="Q35" i="15"/>
  <c r="L35" i="15"/>
  <c r="Q34" i="15"/>
  <c r="L34" i="15"/>
  <c r="Q33" i="15"/>
  <c r="Q39" i="15" s="1"/>
  <c r="L33" i="15"/>
  <c r="L39" i="15" s="1"/>
  <c r="R31" i="15"/>
  <c r="Q31" i="15"/>
  <c r="P31" i="15"/>
  <c r="O31" i="15"/>
  <c r="N31" i="15"/>
  <c r="M31" i="15"/>
  <c r="L31" i="15"/>
  <c r="K31" i="15"/>
  <c r="J31" i="15"/>
  <c r="I31" i="15"/>
  <c r="H31" i="15"/>
  <c r="Q30" i="15"/>
  <c r="L30" i="15"/>
  <c r="Q29" i="15"/>
  <c r="L29" i="15"/>
  <c r="Q28" i="15"/>
  <c r="L28" i="15"/>
  <c r="R26" i="15"/>
  <c r="P26" i="15"/>
  <c r="P47" i="15" s="1"/>
  <c r="P50" i="15" s="1"/>
  <c r="O26" i="15"/>
  <c r="O47" i="15" s="1"/>
  <c r="O50" i="15" s="1"/>
  <c r="N26" i="15"/>
  <c r="N47" i="15" s="1"/>
  <c r="N50" i="15" s="1"/>
  <c r="M26" i="15"/>
  <c r="M47" i="15" s="1"/>
  <c r="K26" i="15"/>
  <c r="J26" i="15"/>
  <c r="I26" i="15"/>
  <c r="H26" i="15"/>
  <c r="H47" i="15" s="1"/>
  <c r="Q25" i="15"/>
  <c r="L25" i="15"/>
  <c r="Q24" i="15"/>
  <c r="L24" i="15"/>
  <c r="Q23" i="15"/>
  <c r="L23" i="15"/>
  <c r="Q22" i="15"/>
  <c r="L22" i="15"/>
  <c r="Q21" i="15"/>
  <c r="L21" i="15"/>
  <c r="Q19" i="15"/>
  <c r="L19" i="15"/>
  <c r="Q18" i="15"/>
  <c r="L18" i="15"/>
  <c r="Q17" i="15"/>
  <c r="L17" i="15"/>
  <c r="Q16" i="15"/>
  <c r="L16" i="15"/>
  <c r="Q15" i="15"/>
  <c r="L15" i="15"/>
  <c r="Q14" i="15"/>
  <c r="L14" i="15"/>
  <c r="Q13" i="15"/>
  <c r="L13" i="15"/>
  <c r="Q12" i="15"/>
  <c r="L12" i="15"/>
  <c r="Q9" i="15"/>
  <c r="Q26" i="15" s="1"/>
  <c r="L9" i="15"/>
  <c r="L26" i="15" s="1"/>
  <c r="O34" i="14"/>
  <c r="N34" i="14"/>
  <c r="M34" i="14"/>
  <c r="L34" i="14"/>
  <c r="K34" i="14"/>
  <c r="J34" i="14"/>
  <c r="I34" i="14"/>
  <c r="H34" i="14"/>
  <c r="G34" i="14"/>
  <c r="J28" i="14"/>
  <c r="J35" i="14" s="1"/>
  <c r="I28" i="14"/>
  <c r="I35" i="14" s="1"/>
  <c r="H28" i="14"/>
  <c r="H35" i="14" s="1"/>
  <c r="G28" i="14"/>
  <c r="G35" i="14" s="1"/>
  <c r="O24" i="14"/>
  <c r="O28" i="14" s="1"/>
  <c r="O35" i="14" s="1"/>
  <c r="N24" i="14"/>
  <c r="N28" i="14" s="1"/>
  <c r="N35" i="14" s="1"/>
  <c r="M24" i="14"/>
  <c r="M28" i="14" s="1"/>
  <c r="M35" i="14" s="1"/>
  <c r="L24" i="14"/>
  <c r="L28" i="14" s="1"/>
  <c r="L35" i="14" s="1"/>
  <c r="K24" i="14"/>
  <c r="K28" i="14" s="1"/>
  <c r="K35" i="14" s="1"/>
  <c r="J24" i="14"/>
  <c r="I24" i="14"/>
  <c r="H24" i="14"/>
  <c r="G24" i="14"/>
  <c r="L16" i="14"/>
  <c r="K16" i="14"/>
  <c r="J16" i="14"/>
  <c r="I16" i="14"/>
  <c r="H16" i="14"/>
  <c r="G16" i="14"/>
  <c r="O12" i="14"/>
  <c r="O16" i="14" s="1"/>
  <c r="N12" i="14"/>
  <c r="N16" i="14" s="1"/>
  <c r="M12" i="14"/>
  <c r="M16" i="14" s="1"/>
  <c r="L12" i="14"/>
  <c r="K12" i="14"/>
  <c r="J12" i="14"/>
  <c r="I12" i="14"/>
  <c r="H12" i="14"/>
  <c r="G12" i="14"/>
  <c r="O20" i="13"/>
  <c r="J20" i="13"/>
  <c r="P19" i="13"/>
  <c r="P21" i="13" s="1"/>
  <c r="M19" i="13"/>
  <c r="M21" i="13" s="1"/>
  <c r="F19" i="13"/>
  <c r="F21" i="13" s="1"/>
  <c r="O18" i="13"/>
  <c r="J18" i="13"/>
  <c r="O17" i="13"/>
  <c r="J17" i="13"/>
  <c r="P15" i="13"/>
  <c r="N15" i="13"/>
  <c r="N19" i="13" s="1"/>
  <c r="N21" i="13" s="1"/>
  <c r="M15" i="13"/>
  <c r="L15" i="13"/>
  <c r="L19" i="13" s="1"/>
  <c r="L21" i="13" s="1"/>
  <c r="K15" i="13"/>
  <c r="O15" i="13" s="1"/>
  <c r="I15" i="13"/>
  <c r="I19" i="13" s="1"/>
  <c r="I21" i="13" s="1"/>
  <c r="H15" i="13"/>
  <c r="H19" i="13" s="1"/>
  <c r="H21" i="13" s="1"/>
  <c r="G15" i="13"/>
  <c r="G19" i="13" s="1"/>
  <c r="G21" i="13" s="1"/>
  <c r="F15" i="13"/>
  <c r="O14" i="13"/>
  <c r="J14" i="13"/>
  <c r="O13" i="13"/>
  <c r="J13" i="13"/>
  <c r="O12" i="13"/>
  <c r="J12" i="13"/>
  <c r="O10" i="13"/>
  <c r="J10" i="13"/>
  <c r="O9" i="13"/>
  <c r="J9" i="13"/>
  <c r="O7" i="7" l="1"/>
  <c r="U7" i="7"/>
  <c r="P24" i="16"/>
  <c r="L14" i="16"/>
  <c r="K14" i="16"/>
  <c r="R13" i="16"/>
  <c r="P15" i="16"/>
  <c r="P14" i="16"/>
  <c r="Q14" i="16"/>
  <c r="T8" i="7"/>
  <c r="I133" i="7"/>
  <c r="H133" i="7"/>
  <c r="J131" i="7"/>
  <c r="U9" i="7"/>
  <c r="U10" i="7"/>
  <c r="H141" i="7"/>
  <c r="H142" i="7" s="1"/>
  <c r="J124" i="7"/>
  <c r="J113" i="7"/>
  <c r="H115" i="7"/>
  <c r="I115" i="7"/>
  <c r="F142" i="7"/>
  <c r="I141" i="7"/>
  <c r="W45" i="8"/>
  <c r="W48" i="8"/>
  <c r="W49" i="8"/>
  <c r="W46" i="8"/>
  <c r="W50" i="8"/>
  <c r="S57" i="8"/>
  <c r="W44" i="8"/>
  <c r="W57" i="8" s="1"/>
  <c r="W54" i="8"/>
  <c r="C57" i="8"/>
  <c r="E142" i="7"/>
  <c r="G142" i="7"/>
  <c r="I81" i="7"/>
  <c r="J81" i="7" s="1"/>
  <c r="J72" i="7"/>
  <c r="H74" i="7"/>
  <c r="H81" i="7"/>
  <c r="I68" i="7"/>
  <c r="J68" i="7" s="1"/>
  <c r="J93" i="7" s="1"/>
  <c r="J86" i="7" s="1"/>
  <c r="J66" i="7"/>
  <c r="I56" i="7"/>
  <c r="J56" i="7" s="1"/>
  <c r="J91" i="7" s="1"/>
  <c r="Q91" i="7" s="1"/>
  <c r="J54" i="7"/>
  <c r="J60" i="7"/>
  <c r="I62" i="7"/>
  <c r="J62" i="7" s="1"/>
  <c r="I74" i="7"/>
  <c r="J21" i="13"/>
  <c r="J15" i="13"/>
  <c r="K19" i="13"/>
  <c r="K21" i="13" s="1"/>
  <c r="Q47" i="15"/>
  <c r="Q50" i="15" s="1"/>
  <c r="M50" i="15"/>
  <c r="O21" i="13"/>
  <c r="Q44" i="15"/>
  <c r="O19" i="13"/>
  <c r="L47" i="15"/>
  <c r="L50" i="15" s="1"/>
  <c r="H50" i="15"/>
  <c r="J19" i="13"/>
  <c r="H43" i="7"/>
  <c r="H42" i="7" s="1"/>
  <c r="J92" i="7" l="1"/>
  <c r="J133" i="7"/>
  <c r="Q86" i="7"/>
  <c r="J85" i="7"/>
  <c r="Q85" i="7" s="1"/>
  <c r="J84" i="7"/>
  <c r="Q84" i="7" s="1"/>
  <c r="Q100" i="7"/>
  <c r="V65" i="7"/>
  <c r="V68" i="7"/>
  <c r="Q98" i="7"/>
  <c r="O8" i="7"/>
  <c r="U8" i="7"/>
  <c r="J115" i="7"/>
  <c r="J74" i="7"/>
  <c r="J94" i="7" s="1"/>
  <c r="I142" i="7"/>
  <c r="J142" i="7" s="1"/>
  <c r="J141" i="7"/>
  <c r="G43" i="7"/>
  <c r="G42" i="7" s="1"/>
  <c r="C39" i="10"/>
  <c r="D39" i="10"/>
  <c r="E39" i="10"/>
  <c r="F39" i="10"/>
  <c r="G39" i="10"/>
  <c r="H39" i="10"/>
  <c r="I39" i="10"/>
  <c r="J39" i="10"/>
  <c r="K39" i="10"/>
  <c r="L39" i="10"/>
  <c r="M39" i="10"/>
  <c r="B39" i="10"/>
  <c r="O29" i="10"/>
  <c r="O30" i="10"/>
  <c r="O31" i="10"/>
  <c r="O32" i="10"/>
  <c r="O33" i="10"/>
  <c r="O34" i="10"/>
  <c r="O35" i="10"/>
  <c r="O36" i="10"/>
  <c r="O37" i="10"/>
  <c r="O38" i="10"/>
  <c r="O28" i="10"/>
  <c r="N34" i="10"/>
  <c r="N28" i="10"/>
  <c r="N29" i="10"/>
  <c r="N30" i="10"/>
  <c r="N31" i="10"/>
  <c r="N32" i="10"/>
  <c r="N33" i="10"/>
  <c r="N35" i="10"/>
  <c r="N36" i="10"/>
  <c r="N37" i="10"/>
  <c r="N38" i="10"/>
  <c r="N39" i="10" s="1"/>
  <c r="C3" i="8"/>
  <c r="C4" i="8"/>
  <c r="J87" i="7" l="1"/>
  <c r="Q87" i="7" s="1"/>
  <c r="Q99" i="7"/>
  <c r="Q101" i="7"/>
  <c r="F43" i="7"/>
  <c r="F42" i="7" s="1"/>
  <c r="N11" i="8"/>
  <c r="N10" i="8"/>
  <c r="N9" i="8"/>
  <c r="N8" i="8"/>
  <c r="C23" i="8"/>
  <c r="C24" i="8"/>
  <c r="C25" i="8"/>
  <c r="C26" i="8"/>
  <c r="C27" i="8"/>
  <c r="C28" i="8"/>
  <c r="C29" i="8"/>
  <c r="C30" i="8"/>
  <c r="C31" i="8"/>
  <c r="C32" i="8"/>
  <c r="C33" i="8"/>
  <c r="C34" i="8"/>
  <c r="C35" i="8"/>
  <c r="G34" i="8"/>
  <c r="G33" i="8"/>
  <c r="G32" i="8"/>
  <c r="G31" i="8"/>
  <c r="G30" i="8"/>
  <c r="G29" i="8"/>
  <c r="G28" i="8"/>
  <c r="G27" i="8"/>
  <c r="G26" i="8"/>
  <c r="G25" i="8"/>
  <c r="G24" i="8"/>
  <c r="G23" i="8"/>
  <c r="K14" i="8"/>
  <c r="K13" i="8"/>
  <c r="K12" i="8"/>
  <c r="K11" i="8"/>
  <c r="K10" i="8"/>
  <c r="K9" i="8"/>
  <c r="K8" i="8"/>
  <c r="K7" i="8"/>
  <c r="K6" i="8"/>
  <c r="K5" i="8"/>
  <c r="K4" i="8"/>
  <c r="K3" i="8"/>
  <c r="G14" i="8"/>
  <c r="G13" i="8"/>
  <c r="G12" i="8"/>
  <c r="G11" i="8"/>
  <c r="G10" i="8"/>
  <c r="G9" i="8"/>
  <c r="G8" i="8"/>
  <c r="G7" i="8"/>
  <c r="G6" i="8"/>
  <c r="G5" i="8"/>
  <c r="G4" i="8"/>
  <c r="G3" i="8"/>
  <c r="T11" i="8"/>
  <c r="Q11" i="8"/>
  <c r="T10" i="8"/>
  <c r="Q10" i="8"/>
  <c r="T9" i="8"/>
  <c r="Q9" i="8"/>
  <c r="T8" i="8"/>
  <c r="Q8" i="8"/>
  <c r="C5" i="8"/>
  <c r="C6" i="8"/>
  <c r="C7" i="8"/>
  <c r="C8" i="8"/>
  <c r="C9" i="8"/>
  <c r="C10" i="8"/>
  <c r="C11" i="8"/>
  <c r="C12" i="8"/>
  <c r="C13" i="8"/>
  <c r="C14" i="8"/>
  <c r="V213" i="7"/>
  <c r="E43" i="7" l="1"/>
  <c r="E42" i="7" s="1"/>
  <c r="G36" i="8"/>
  <c r="G16" i="8"/>
  <c r="K16" i="8"/>
  <c r="C16" i="8"/>
  <c r="C36" i="8"/>
  <c r="D43" i="7" l="1"/>
  <c r="D42" i="7" s="1"/>
  <c r="L43" i="7"/>
  <c r="L42" i="7" s="1"/>
  <c r="M43" i="7" l="1"/>
  <c r="I41" i="7"/>
  <c r="I167" i="7" s="1"/>
  <c r="D41" i="7"/>
  <c r="G41" i="7"/>
  <c r="G167" i="7" s="1"/>
  <c r="H41" i="7"/>
  <c r="H167" i="7" s="1"/>
  <c r="K41" i="7"/>
  <c r="K63" i="7" l="1"/>
  <c r="K57" i="7"/>
  <c r="K75" i="7"/>
  <c r="K69" i="7"/>
  <c r="K164" i="7"/>
  <c r="K171" i="7"/>
  <c r="K178" i="7"/>
  <c r="K189" i="7"/>
  <c r="D167" i="7"/>
  <c r="D157" i="7"/>
  <c r="K119" i="7"/>
  <c r="K137" i="7"/>
  <c r="K128" i="7"/>
  <c r="K110" i="7"/>
  <c r="K91" i="7"/>
  <c r="K51" i="7"/>
  <c r="M42" i="7"/>
  <c r="H157" i="7"/>
  <c r="K98" i="7"/>
  <c r="K84" i="7"/>
  <c r="D46" i="7"/>
  <c r="D193" i="7"/>
  <c r="H193" i="7"/>
  <c r="I46" i="7"/>
  <c r="I170" i="7"/>
  <c r="I193" i="7"/>
  <c r="G193" i="7"/>
  <c r="H46" i="7"/>
  <c r="K95" i="7"/>
  <c r="K88" i="7"/>
  <c r="K86" i="7"/>
  <c r="K85" i="7"/>
  <c r="K87" i="7"/>
  <c r="G46" i="7"/>
  <c r="K102" i="7"/>
  <c r="I157" i="7"/>
  <c r="G174" i="7"/>
  <c r="I174" i="7"/>
  <c r="H174" i="7"/>
  <c r="D174" i="7"/>
  <c r="D104" i="7"/>
  <c r="D146" i="7"/>
  <c r="H104" i="7"/>
  <c r="H146" i="7"/>
  <c r="G104" i="7"/>
  <c r="G146" i="7"/>
  <c r="I104" i="7"/>
  <c r="I146" i="7"/>
  <c r="D149" i="7"/>
  <c r="H149" i="7"/>
  <c r="G149" i="7"/>
  <c r="I149" i="7"/>
  <c r="K101" i="7"/>
  <c r="K99" i="7"/>
  <c r="K93" i="7"/>
  <c r="K92" i="7"/>
  <c r="K100" i="7"/>
  <c r="K94" i="7"/>
  <c r="G201" i="7"/>
  <c r="G157" i="7"/>
  <c r="H201" i="7"/>
  <c r="I201" i="7"/>
  <c r="G105" i="7" l="1"/>
  <c r="K58" i="7"/>
  <c r="I105" i="7"/>
  <c r="G175" i="7"/>
  <c r="D105" i="7"/>
  <c r="D175" i="7"/>
  <c r="H168" i="7"/>
  <c r="H105" i="7"/>
  <c r="V84" i="7"/>
  <c r="V81" i="7"/>
  <c r="V57" i="7"/>
  <c r="V60" i="7"/>
  <c r="K78" i="7" a="1"/>
  <c r="K78" i="7" s="1"/>
  <c r="V49" i="7"/>
  <c r="V52" i="7"/>
  <c r="K72" i="7" a="1"/>
  <c r="K72" i="7" s="1"/>
  <c r="K76" i="7" s="1"/>
  <c r="H106" i="7"/>
  <c r="I106" i="7"/>
  <c r="I175" i="7"/>
  <c r="H175" i="7"/>
  <c r="J22" i="7"/>
  <c r="J23" i="7" s="1"/>
  <c r="K18" i="7" s="1"/>
  <c r="I168" i="7"/>
  <c r="D114" i="7"/>
  <c r="D168" i="7"/>
  <c r="G114" i="7"/>
  <c r="G168" i="7"/>
  <c r="I181" i="7"/>
  <c r="I195" i="7"/>
  <c r="H114" i="7"/>
  <c r="H144" i="7"/>
  <c r="H155" i="7" s="1"/>
  <c r="H195" i="7"/>
  <c r="J46" i="7"/>
  <c r="I114" i="7"/>
  <c r="D144" i="7"/>
  <c r="D150" i="7" s="1"/>
  <c r="K60" i="7" a="1"/>
  <c r="K60" i="7" s="1"/>
  <c r="K64" i="7" s="1"/>
  <c r="K66" i="7" a="1"/>
  <c r="K66" i="7" s="1"/>
  <c r="K70" i="7" s="1"/>
  <c r="D181" i="7"/>
  <c r="H55" i="7"/>
  <c r="H73" i="7"/>
  <c r="H67" i="7"/>
  <c r="H61" i="7"/>
  <c r="I73" i="7"/>
  <c r="I55" i="7"/>
  <c r="I67" i="7"/>
  <c r="I61" i="7"/>
  <c r="G73" i="7"/>
  <c r="G61" i="7"/>
  <c r="G67" i="7"/>
  <c r="G55" i="7"/>
  <c r="H177" i="7"/>
  <c r="H170" i="7"/>
  <c r="H158" i="7"/>
  <c r="H160" i="7"/>
  <c r="I177" i="7"/>
  <c r="J157" i="7"/>
  <c r="I160" i="7"/>
  <c r="I158" i="7"/>
  <c r="G158" i="7"/>
  <c r="I144" i="7"/>
  <c r="G181" i="7"/>
  <c r="H181" i="7"/>
  <c r="J174" i="7"/>
  <c r="J167" i="7"/>
  <c r="G123" i="7"/>
  <c r="G132" i="7"/>
  <c r="G144" i="7"/>
  <c r="G147" i="7" s="1"/>
  <c r="H123" i="7"/>
  <c r="H132" i="7"/>
  <c r="D132" i="7"/>
  <c r="D123" i="7"/>
  <c r="D194" i="7"/>
  <c r="G194" i="7"/>
  <c r="H194" i="7"/>
  <c r="I194" i="7"/>
  <c r="I123" i="7"/>
  <c r="I132" i="7"/>
  <c r="D158" i="7"/>
  <c r="I48" i="7"/>
  <c r="H48" i="7"/>
  <c r="D201" i="7"/>
  <c r="E41" i="7"/>
  <c r="E167" i="7" s="1"/>
  <c r="F41" i="7"/>
  <c r="F167" i="7" s="1"/>
  <c r="K68" i="7" l="1"/>
  <c r="K56" i="7"/>
  <c r="K81" i="7"/>
  <c r="K46" i="7" s="1"/>
  <c r="K52" i="7" s="1"/>
  <c r="I155" i="7"/>
  <c r="V73" i="7"/>
  <c r="H183" i="7"/>
  <c r="H159" i="7" s="1"/>
  <c r="I183" i="7"/>
  <c r="I159" i="7" s="1"/>
  <c r="K62" i="7"/>
  <c r="G169" i="7"/>
  <c r="H169" i="7"/>
  <c r="I176" i="7"/>
  <c r="I169" i="7"/>
  <c r="D169" i="7"/>
  <c r="D155" i="7"/>
  <c r="G176" i="7"/>
  <c r="H176" i="7"/>
  <c r="D176" i="7"/>
  <c r="K22" i="7"/>
  <c r="K21" i="7"/>
  <c r="K20" i="7"/>
  <c r="K19" i="7"/>
  <c r="E193" i="7"/>
  <c r="F193" i="7"/>
  <c r="I150" i="7"/>
  <c r="H150" i="7"/>
  <c r="G150" i="7"/>
  <c r="K74" i="7"/>
  <c r="E46" i="7"/>
  <c r="J181" i="7"/>
  <c r="F46" i="7"/>
  <c r="G155" i="7"/>
  <c r="F174" i="7"/>
  <c r="E170" i="7"/>
  <c r="E174" i="7"/>
  <c r="E104" i="7"/>
  <c r="E106" i="7" s="1"/>
  <c r="E146" i="7"/>
  <c r="H145" i="7"/>
  <c r="H147" i="7"/>
  <c r="F104" i="7"/>
  <c r="F146" i="7"/>
  <c r="I147" i="7"/>
  <c r="J144" i="7"/>
  <c r="I145" i="7"/>
  <c r="D147" i="7"/>
  <c r="E149" i="7"/>
  <c r="F149" i="7"/>
  <c r="E157" i="7"/>
  <c r="F157" i="7"/>
  <c r="F201" i="7"/>
  <c r="E201" i="7"/>
  <c r="H200" i="7" l="1"/>
  <c r="I184" i="7"/>
  <c r="E168" i="7"/>
  <c r="E105" i="7"/>
  <c r="F168" i="7"/>
  <c r="F105" i="7"/>
  <c r="K50" i="7"/>
  <c r="V76" i="7"/>
  <c r="J152" i="7"/>
  <c r="J153" i="7"/>
  <c r="J151" i="7"/>
  <c r="F106" i="7"/>
  <c r="G106" i="7"/>
  <c r="J106" i="7"/>
  <c r="F175" i="7"/>
  <c r="E175" i="7"/>
  <c r="E177" i="7"/>
  <c r="K23" i="7"/>
  <c r="I200" i="7"/>
  <c r="J200" i="7" s="1"/>
  <c r="F114" i="7"/>
  <c r="F123" i="7"/>
  <c r="J193" i="7"/>
  <c r="E114" i="7"/>
  <c r="E123" i="7"/>
  <c r="J149" i="7"/>
  <c r="F195" i="7"/>
  <c r="G195" i="7"/>
  <c r="J201" i="7"/>
  <c r="I185" i="7"/>
  <c r="H184" i="7"/>
  <c r="E61" i="7"/>
  <c r="E67" i="7"/>
  <c r="E55" i="7"/>
  <c r="E73" i="7"/>
  <c r="F61" i="7"/>
  <c r="F55" i="7"/>
  <c r="F67" i="7"/>
  <c r="F73" i="7"/>
  <c r="F170" i="7"/>
  <c r="G170" i="7"/>
  <c r="F160" i="7"/>
  <c r="G160" i="7"/>
  <c r="E160" i="7"/>
  <c r="F177" i="7"/>
  <c r="G177" i="7"/>
  <c r="F181" i="7"/>
  <c r="E181" i="7"/>
  <c r="F144" i="7"/>
  <c r="F150" i="7" s="1"/>
  <c r="E132" i="7"/>
  <c r="F132" i="7"/>
  <c r="J104" i="7"/>
  <c r="J146" i="7"/>
  <c r="E144" i="7"/>
  <c r="E150" i="7" s="1"/>
  <c r="F194" i="7"/>
  <c r="E194" i="7"/>
  <c r="E158" i="7"/>
  <c r="F158" i="7"/>
  <c r="E48" i="7"/>
  <c r="F48" i="7"/>
  <c r="G48" i="7"/>
  <c r="J168" i="7" l="1"/>
  <c r="E183" i="7"/>
  <c r="J105" i="7"/>
  <c r="J108" i="7" s="1"/>
  <c r="J123" i="7"/>
  <c r="V92" i="7"/>
  <c r="J114" i="7"/>
  <c r="J48" i="7"/>
  <c r="J55" i="7"/>
  <c r="J73" i="7"/>
  <c r="F183" i="7"/>
  <c r="F159" i="7" s="1"/>
  <c r="G183" i="7"/>
  <c r="G184" i="7" s="1"/>
  <c r="J184" i="7" s="1"/>
  <c r="J187" i="7" s="1"/>
  <c r="J186" i="7" s="1"/>
  <c r="J175" i="7"/>
  <c r="E169" i="7"/>
  <c r="F169" i="7"/>
  <c r="F176" i="7"/>
  <c r="E176" i="7"/>
  <c r="J195" i="7"/>
  <c r="J150" i="7"/>
  <c r="J177" i="7"/>
  <c r="J170" i="7"/>
  <c r="J160" i="7"/>
  <c r="J67" i="7"/>
  <c r="J61" i="7"/>
  <c r="J194" i="7"/>
  <c r="J158" i="7"/>
  <c r="E145" i="7"/>
  <c r="E147" i="7"/>
  <c r="F147" i="7"/>
  <c r="G145" i="7"/>
  <c r="F145" i="7"/>
  <c r="E155" i="7"/>
  <c r="J132" i="7"/>
  <c r="F155" i="7"/>
  <c r="L41" i="7"/>
  <c r="L44" i="7"/>
  <c r="N43" i="7"/>
  <c r="F18" i="2"/>
  <c r="L18" i="2"/>
  <c r="O18" i="2"/>
  <c r="K18" i="2"/>
  <c r="I18" i="2"/>
  <c r="N18" i="2"/>
  <c r="M18" i="2"/>
  <c r="C18" i="2"/>
  <c r="E18" i="2"/>
  <c r="H18" i="2"/>
  <c r="B18" i="2"/>
  <c r="G18" i="2"/>
  <c r="J18" i="2"/>
  <c r="D18" i="2"/>
  <c r="L57" i="7" l="1"/>
  <c r="L63" i="7"/>
  <c r="L69" i="7"/>
  <c r="L75" i="7"/>
  <c r="L164" i="7"/>
  <c r="L171" i="7"/>
  <c r="L189" i="7"/>
  <c r="L178" i="7"/>
  <c r="G159" i="7"/>
  <c r="V89" i="7"/>
  <c r="E159" i="7"/>
  <c r="J159" i="7" s="1"/>
  <c r="J161" i="7" s="1"/>
  <c r="K161" i="7" s="1"/>
  <c r="L161" i="7" s="1"/>
  <c r="L128" i="7"/>
  <c r="L119" i="7"/>
  <c r="L110" i="7"/>
  <c r="L137" i="7"/>
  <c r="J109" i="7"/>
  <c r="J107" i="7"/>
  <c r="L51" i="7"/>
  <c r="J136" i="7"/>
  <c r="K136" i="7" s="1"/>
  <c r="J134" i="7"/>
  <c r="K134" i="7" s="1"/>
  <c r="L134" i="7" s="1"/>
  <c r="J135" i="7"/>
  <c r="K135" i="7" s="1"/>
  <c r="L135" i="7" s="1"/>
  <c r="N42" i="7"/>
  <c r="N41" i="7" s="1"/>
  <c r="J183" i="7"/>
  <c r="J126" i="7"/>
  <c r="K126" i="7" s="1"/>
  <c r="J125" i="7"/>
  <c r="K125" i="7" s="1"/>
  <c r="L125" i="7" s="1"/>
  <c r="J127" i="7"/>
  <c r="K127" i="7" s="1"/>
  <c r="L127" i="7" s="1"/>
  <c r="K152" i="7"/>
  <c r="L152" i="7" s="1"/>
  <c r="K153" i="7"/>
  <c r="L153" i="7" s="1"/>
  <c r="K151" i="7"/>
  <c r="L151" i="7" s="1"/>
  <c r="J145" i="7"/>
  <c r="J196" i="7"/>
  <c r="K196" i="7" s="1"/>
  <c r="L196" i="7" s="1"/>
  <c r="J116" i="7"/>
  <c r="K116" i="7" s="1"/>
  <c r="L116" i="7" s="1"/>
  <c r="J118" i="7"/>
  <c r="K118" i="7" s="1"/>
  <c r="L118" i="7" s="1"/>
  <c r="J117" i="7"/>
  <c r="K117" i="7" s="1"/>
  <c r="K113" i="7" s="1" a="1"/>
  <c r="K113" i="7" s="1"/>
  <c r="K120" i="7" s="1"/>
  <c r="G200" i="7"/>
  <c r="L87" i="7"/>
  <c r="L85" i="7"/>
  <c r="L86" i="7"/>
  <c r="L88" i="7"/>
  <c r="L84" i="7"/>
  <c r="L95" i="7"/>
  <c r="J155" i="7"/>
  <c r="E184" i="7"/>
  <c r="L102" i="7"/>
  <c r="H185" i="7"/>
  <c r="F184" i="7"/>
  <c r="F185" i="7"/>
  <c r="G185" i="7"/>
  <c r="E200" i="7"/>
  <c r="F200" i="7"/>
  <c r="L100" i="7"/>
  <c r="L93" i="7"/>
  <c r="L101" i="7"/>
  <c r="L92" i="7"/>
  <c r="L99" i="7"/>
  <c r="L98" i="7"/>
  <c r="L94" i="7"/>
  <c r="L91" i="7"/>
  <c r="O43" i="7"/>
  <c r="O42" i="7" s="1"/>
  <c r="M44" i="7"/>
  <c r="M41" i="7"/>
  <c r="M57" i="7" l="1"/>
  <c r="M63" i="7"/>
  <c r="M69" i="7"/>
  <c r="M75" i="7"/>
  <c r="N63" i="7"/>
  <c r="N75" i="7"/>
  <c r="N69" i="7"/>
  <c r="N57" i="7"/>
  <c r="M164" i="7"/>
  <c r="M178" i="7"/>
  <c r="M189" i="7"/>
  <c r="M171" i="7"/>
  <c r="N164" i="7"/>
  <c r="N189" i="7"/>
  <c r="N171" i="7"/>
  <c r="N178" i="7"/>
  <c r="N119" i="7"/>
  <c r="N128" i="7"/>
  <c r="N110" i="7"/>
  <c r="N137" i="7"/>
  <c r="M137" i="7"/>
  <c r="M110" i="7"/>
  <c r="M119" i="7"/>
  <c r="M128" i="7"/>
  <c r="J162" i="7"/>
  <c r="J163" i="7" s="1"/>
  <c r="K163" i="7" s="1"/>
  <c r="L163" i="7" s="1"/>
  <c r="M163" i="7" s="1"/>
  <c r="N163" i="7" s="1"/>
  <c r="N51" i="7"/>
  <c r="M51" i="7"/>
  <c r="M135" i="7"/>
  <c r="N135" i="7" s="1"/>
  <c r="M134" i="7"/>
  <c r="N134" i="7" s="1"/>
  <c r="L136" i="7"/>
  <c r="M136" i="7" s="1"/>
  <c r="N136" i="7" s="1"/>
  <c r="K131" i="7" a="1"/>
  <c r="K131" i="7" s="1"/>
  <c r="K138" i="7" s="1"/>
  <c r="M161" i="7"/>
  <c r="N161" i="7" s="1"/>
  <c r="L126" i="7"/>
  <c r="M126" i="7" s="1"/>
  <c r="M127" i="7"/>
  <c r="N127" i="7" s="1"/>
  <c r="M125" i="7"/>
  <c r="N125" i="7" s="1"/>
  <c r="L78" i="7" a="1"/>
  <c r="L78" i="7" s="1"/>
  <c r="M151" i="7"/>
  <c r="N151" i="7" s="1"/>
  <c r="J197" i="7"/>
  <c r="K197" i="7" s="1"/>
  <c r="L197" i="7" s="1"/>
  <c r="M196" i="7"/>
  <c r="N196" i="7" s="1"/>
  <c r="J185" i="7"/>
  <c r="L54" i="7" a="1"/>
  <c r="L54" i="7" s="1"/>
  <c r="L58" i="7" s="1"/>
  <c r="L66" i="7" a="1"/>
  <c r="L66" i="7" s="1"/>
  <c r="L117" i="7"/>
  <c r="M117" i="7" s="1"/>
  <c r="N117" i="7" s="1"/>
  <c r="M118" i="7"/>
  <c r="N118" i="7" s="1"/>
  <c r="M116" i="7"/>
  <c r="N116" i="7" s="1"/>
  <c r="M152" i="7"/>
  <c r="N152" i="7" s="1"/>
  <c r="M153" i="7"/>
  <c r="N153" i="7" s="1"/>
  <c r="L60" i="7" a="1"/>
  <c r="L60" i="7" s="1"/>
  <c r="L64" i="7" s="1"/>
  <c r="M95" i="7"/>
  <c r="N95" i="7" s="1"/>
  <c r="K108" i="7"/>
  <c r="K104" i="7" s="1" a="1"/>
  <c r="K104" i="7" s="1"/>
  <c r="K111" i="7" s="1"/>
  <c r="K107" i="7"/>
  <c r="L107" i="7" s="1"/>
  <c r="M107" i="7" s="1"/>
  <c r="N107" i="7" s="1"/>
  <c r="L72" i="7" a="1"/>
  <c r="L72" i="7" s="1"/>
  <c r="L76" i="7" s="1"/>
  <c r="M102" i="7"/>
  <c r="N102" i="7" s="1"/>
  <c r="M84" i="7"/>
  <c r="N84" i="7" s="1"/>
  <c r="M87" i="7"/>
  <c r="N87" i="7" s="1"/>
  <c r="M91" i="7"/>
  <c r="M98" i="7"/>
  <c r="N98" i="7" s="1"/>
  <c r="M85" i="7"/>
  <c r="N85" i="7" s="1"/>
  <c r="M86" i="7"/>
  <c r="N86" i="7" s="1"/>
  <c r="M94" i="7"/>
  <c r="M101" i="7"/>
  <c r="N101" i="7" s="1"/>
  <c r="M99" i="7"/>
  <c r="N99" i="7" s="1"/>
  <c r="M92" i="7"/>
  <c r="M93" i="7"/>
  <c r="M100" i="7"/>
  <c r="N100" i="7" s="1"/>
  <c r="N44" i="7"/>
  <c r="P43" i="7"/>
  <c r="P42" i="7" s="1"/>
  <c r="L68" i="7" l="1"/>
  <c r="L70" i="7"/>
  <c r="K162" i="7"/>
  <c r="L62" i="7"/>
  <c r="M60" i="7" a="1"/>
  <c r="M60" i="7" s="1"/>
  <c r="M64" i="7" s="1"/>
  <c r="K133" i="7"/>
  <c r="K132" i="7"/>
  <c r="N126" i="7"/>
  <c r="J198" i="7"/>
  <c r="M197" i="7"/>
  <c r="N197" i="7" s="1"/>
  <c r="L56" i="7"/>
  <c r="M66" i="7" a="1"/>
  <c r="M66" i="7" s="1"/>
  <c r="J188" i="7"/>
  <c r="K188" i="7" s="1"/>
  <c r="L188" i="7" s="1"/>
  <c r="M188" i="7" s="1"/>
  <c r="N188" i="7" s="1"/>
  <c r="K187" i="7"/>
  <c r="K186" i="7"/>
  <c r="L186" i="7" s="1"/>
  <c r="M186" i="7" s="1"/>
  <c r="N186" i="7" s="1"/>
  <c r="O186" i="7" s="1"/>
  <c r="P186" i="7" s="1"/>
  <c r="M54" i="7" a="1"/>
  <c r="M54" i="7" s="1"/>
  <c r="M58" i="7" s="1"/>
  <c r="M72" i="7" a="1"/>
  <c r="M72" i="7" s="1"/>
  <c r="M76" i="7" s="1"/>
  <c r="L74" i="7"/>
  <c r="L108" i="7"/>
  <c r="N94" i="7"/>
  <c r="N93" i="7"/>
  <c r="N91" i="7"/>
  <c r="N92" i="7"/>
  <c r="P41" i="7"/>
  <c r="O41" i="7"/>
  <c r="P44" i="7"/>
  <c r="O44" i="7"/>
  <c r="O63" i="7" l="1"/>
  <c r="O75" i="7"/>
  <c r="O57" i="7"/>
  <c r="O69" i="7"/>
  <c r="P63" i="7"/>
  <c r="P57" i="7"/>
  <c r="P75" i="7"/>
  <c r="P69" i="7"/>
  <c r="Q69" i="7" s="1"/>
  <c r="M68" i="7"/>
  <c r="M70" i="7"/>
  <c r="O164" i="7"/>
  <c r="O189" i="7"/>
  <c r="O178" i="7"/>
  <c r="O171" i="7"/>
  <c r="P164" i="7"/>
  <c r="Q164" i="7" s="1"/>
  <c r="P189" i="7"/>
  <c r="P171" i="7"/>
  <c r="P178" i="7"/>
  <c r="L162" i="7"/>
  <c r="M162" i="7" s="1"/>
  <c r="N162" i="7" s="1"/>
  <c r="O162" i="7" s="1"/>
  <c r="P162" i="7" s="1"/>
  <c r="O119" i="7"/>
  <c r="O128" i="7"/>
  <c r="O137" i="7"/>
  <c r="O110" i="7"/>
  <c r="P128" i="7"/>
  <c r="P119" i="7"/>
  <c r="P110" i="7"/>
  <c r="P137" i="7"/>
  <c r="M62" i="7"/>
  <c r="M108" i="7"/>
  <c r="O161" i="7"/>
  <c r="P161" i="7" s="1"/>
  <c r="O51" i="7"/>
  <c r="P51" i="7"/>
  <c r="O134" i="7"/>
  <c r="P134" i="7" s="1"/>
  <c r="K183" i="7" a="1"/>
  <c r="K183" i="7" s="1"/>
  <c r="O136" i="7"/>
  <c r="P136" i="7" s="1"/>
  <c r="O135" i="7"/>
  <c r="P135" i="7" s="1"/>
  <c r="L187" i="7"/>
  <c r="M187" i="7" s="1"/>
  <c r="N187" i="7" s="1"/>
  <c r="O187" i="7" s="1"/>
  <c r="P187" i="7" s="1"/>
  <c r="O117" i="7"/>
  <c r="P117" i="7" s="1"/>
  <c r="O163" i="7"/>
  <c r="P163" i="7" s="1"/>
  <c r="O125" i="7"/>
  <c r="P125" i="7" s="1"/>
  <c r="O127" i="7"/>
  <c r="P127" i="7" s="1"/>
  <c r="O126" i="7"/>
  <c r="O197" i="7"/>
  <c r="P197" i="7" s="1"/>
  <c r="O196" i="7"/>
  <c r="P196" i="7" s="1"/>
  <c r="K198" i="7"/>
  <c r="L198" i="7" s="1"/>
  <c r="M198" i="7" s="1"/>
  <c r="N198" i="7" s="1"/>
  <c r="O198" i="7" s="1"/>
  <c r="P198" i="7" s="1"/>
  <c r="N54" i="7" a="1"/>
  <c r="N54" i="7" s="1"/>
  <c r="N58" i="7" s="1"/>
  <c r="M56" i="7"/>
  <c r="O188" i="7"/>
  <c r="P188" i="7" s="1"/>
  <c r="N66" i="7" a="1"/>
  <c r="N66" i="7" s="1"/>
  <c r="O116" i="7"/>
  <c r="P116" i="7" s="1"/>
  <c r="O118" i="7"/>
  <c r="P118" i="7" s="1"/>
  <c r="N60" i="7" a="1"/>
  <c r="N60" i="7" s="1"/>
  <c r="N64" i="7" s="1"/>
  <c r="O86" i="7"/>
  <c r="P86" i="7" s="1"/>
  <c r="O151" i="7"/>
  <c r="O152" i="7"/>
  <c r="P152" i="7" s="1"/>
  <c r="O153" i="7"/>
  <c r="P153" i="7" s="1"/>
  <c r="O95" i="7"/>
  <c r="P95" i="7" s="1"/>
  <c r="N72" i="7" a="1"/>
  <c r="N72" i="7" s="1"/>
  <c r="N76" i="7" s="1"/>
  <c r="M74" i="7"/>
  <c r="O102" i="7"/>
  <c r="P102" i="7" s="1"/>
  <c r="O98" i="7"/>
  <c r="P98" i="7" s="1"/>
  <c r="O101" i="7"/>
  <c r="P101" i="7" s="1"/>
  <c r="O100" i="7"/>
  <c r="P100" i="7" s="1"/>
  <c r="O91" i="7"/>
  <c r="P91" i="7" s="1"/>
  <c r="O92" i="7"/>
  <c r="P92" i="7" s="1"/>
  <c r="O85" i="7"/>
  <c r="P85" i="7" s="1"/>
  <c r="K109" i="7"/>
  <c r="O93" i="7"/>
  <c r="O84" i="7"/>
  <c r="P84" i="7" s="1"/>
  <c r="O107" i="7"/>
  <c r="P107" i="7" s="1"/>
  <c r="O87" i="7"/>
  <c r="P87" i="7" s="1"/>
  <c r="O94" i="7"/>
  <c r="O99" i="7"/>
  <c r="P99" i="7" s="1"/>
  <c r="Q57" i="7" l="1"/>
  <c r="Q58" i="7" s="1"/>
  <c r="Q75" i="7"/>
  <c r="Q76" i="7" s="1"/>
  <c r="Q63" i="7"/>
  <c r="N68" i="7"/>
  <c r="N70" i="7"/>
  <c r="Q189" i="7"/>
  <c r="K157" i="7" a="1"/>
  <c r="K157" i="7" s="1"/>
  <c r="K165" i="7" s="1"/>
  <c r="K190" i="7"/>
  <c r="Q110" i="7"/>
  <c r="Q137" i="7"/>
  <c r="Q128" i="7"/>
  <c r="Q119" i="7"/>
  <c r="N62" i="7"/>
  <c r="N108" i="7"/>
  <c r="K105" i="7"/>
  <c r="Q51" i="7"/>
  <c r="N56" i="7"/>
  <c r="O54" i="7" a="1"/>
  <c r="O54" i="7" s="1"/>
  <c r="O58" i="7" s="1"/>
  <c r="P126" i="7"/>
  <c r="P151" i="7"/>
  <c r="O66" i="7" a="1"/>
  <c r="O66" i="7" s="1"/>
  <c r="O72" i="7" a="1"/>
  <c r="O72" i="7" s="1"/>
  <c r="O76" i="7" s="1"/>
  <c r="N74" i="7"/>
  <c r="O60" i="7" a="1"/>
  <c r="O60" i="7" s="1"/>
  <c r="O64" i="7" s="1"/>
  <c r="L109" i="7"/>
  <c r="P94" i="7"/>
  <c r="P93" i="7"/>
  <c r="Q64" i="7" l="1"/>
  <c r="Q70" i="7"/>
  <c r="O68" i="7"/>
  <c r="O70" i="7"/>
  <c r="K181" i="7"/>
  <c r="K167" i="7" s="1"/>
  <c r="K172" i="7" s="1"/>
  <c r="O62" i="7"/>
  <c r="O108" i="7"/>
  <c r="P66" i="7" a="1"/>
  <c r="P66" i="7" s="1"/>
  <c r="P72" i="7" a="1"/>
  <c r="P72" i="7" s="1"/>
  <c r="P76" i="7" s="1"/>
  <c r="O74" i="7"/>
  <c r="P54" i="7" a="1"/>
  <c r="P54" i="7" s="1"/>
  <c r="O56" i="7"/>
  <c r="P60" i="7" a="1"/>
  <c r="P60" i="7" s="1"/>
  <c r="P64" i="7" s="1"/>
  <c r="M109" i="7"/>
  <c r="P68" i="7" l="1"/>
  <c r="Q68" i="7" s="1"/>
  <c r="P70" i="7"/>
  <c r="Q54" i="7"/>
  <c r="P58" i="7"/>
  <c r="P62" i="7"/>
  <c r="Q62" i="7" s="1"/>
  <c r="P108" i="7"/>
  <c r="P74" i="7"/>
  <c r="Q74" i="7" s="1"/>
  <c r="P56" i="7"/>
  <c r="Q56" i="7" s="1"/>
  <c r="N109" i="7"/>
  <c r="O109" i="7" l="1"/>
  <c r="P109" i="7" l="1"/>
  <c r="K36" i="8" l="1"/>
  <c r="M88" i="7" l="1"/>
  <c r="M78" i="7" s="1" a="1"/>
  <c r="M78" i="7" s="1"/>
  <c r="M81" i="7" s="1"/>
  <c r="M46" i="7" s="1"/>
  <c r="M104" i="7" l="1" a="1"/>
  <c r="M104" i="7" s="1"/>
  <c r="M50" i="7"/>
  <c r="M52" i="7"/>
  <c r="M111" i="7"/>
  <c r="M113" i="7" a="1"/>
  <c r="M113" i="7" s="1"/>
  <c r="M120" i="7" s="1"/>
  <c r="M61" i="7"/>
  <c r="M131" i="7" a="1"/>
  <c r="M131" i="7" s="1"/>
  <c r="M138" i="7" s="1"/>
  <c r="N88" i="7"/>
  <c r="N78" i="7" s="1" a="1"/>
  <c r="N78" i="7" s="1"/>
  <c r="M132" i="7" l="1"/>
  <c r="O88" i="7"/>
  <c r="O78" i="7" s="1" a="1"/>
  <c r="O78" i="7" s="1"/>
  <c r="P88" i="7" l="1"/>
  <c r="P78" i="7" s="1" a="1"/>
  <c r="P78" i="7" s="1"/>
  <c r="P81" i="7" s="1"/>
  <c r="K80" i="7" l="1"/>
  <c r="K61" i="7" l="1"/>
  <c r="K73" i="7"/>
  <c r="K55" i="7"/>
  <c r="K79" i="7"/>
  <c r="Q178" i="7" l="1"/>
  <c r="K67" i="7"/>
  <c r="K48" i="7"/>
  <c r="K114" i="7"/>
  <c r="K193" i="7" a="1"/>
  <c r="K193" i="7" s="1"/>
  <c r="K122" i="7" a="1"/>
  <c r="K122" i="7" s="1"/>
  <c r="K129" i="7" s="1"/>
  <c r="Q171" i="7" l="1"/>
  <c r="K123" i="7"/>
  <c r="K194" i="7"/>
  <c r="K106" i="7"/>
  <c r="K185" i="7"/>
  <c r="K195" i="7"/>
  <c r="K184" i="7"/>
  <c r="K160" i="7" l="1"/>
  <c r="K159" i="7"/>
  <c r="K158" i="7"/>
  <c r="K168" i="7"/>
  <c r="K174" i="7"/>
  <c r="K179" i="7" s="1"/>
  <c r="P80" i="7"/>
  <c r="N80" i="7"/>
  <c r="O80" i="7"/>
  <c r="M80" i="7"/>
  <c r="O81" i="7"/>
  <c r="O46" i="7" s="1"/>
  <c r="O104" i="7" s="1" a="1"/>
  <c r="O104" i="7" s="1"/>
  <c r="L80" i="7"/>
  <c r="P46" i="7"/>
  <c r="P104" i="7" s="1" a="1"/>
  <c r="P104" i="7" s="1"/>
  <c r="L81" i="7"/>
  <c r="L46" i="7" s="1"/>
  <c r="L104" i="7" s="1" a="1"/>
  <c r="L104" i="7" s="1"/>
  <c r="N81" i="7"/>
  <c r="N46" i="7" s="1"/>
  <c r="N104" i="7" s="1" a="1"/>
  <c r="N104" i="7" s="1"/>
  <c r="K175" i="7" l="1"/>
  <c r="Q80" i="7"/>
  <c r="O52" i="7"/>
  <c r="O113" i="7" a="1"/>
  <c r="O113" i="7" s="1"/>
  <c r="O120" i="7" s="1"/>
  <c r="O111" i="7"/>
  <c r="L113" i="7" a="1"/>
  <c r="L113" i="7" s="1"/>
  <c r="L111" i="7"/>
  <c r="P52" i="7"/>
  <c r="P113" i="7" a="1"/>
  <c r="P113" i="7" s="1"/>
  <c r="P111" i="7"/>
  <c r="N52" i="7"/>
  <c r="N111" i="7"/>
  <c r="N113" i="7" a="1"/>
  <c r="N113" i="7" s="1"/>
  <c r="L50" i="7"/>
  <c r="L52" i="7"/>
  <c r="Q46" i="7"/>
  <c r="Q52" i="7" s="1"/>
  <c r="V48" i="7"/>
  <c r="V50" i="7" s="1"/>
  <c r="V51" i="7"/>
  <c r="V53" i="7" s="1"/>
  <c r="O61" i="7"/>
  <c r="O131" i="7" a="1"/>
  <c r="O131" i="7" s="1"/>
  <c r="O138" i="7" s="1"/>
  <c r="N61" i="7"/>
  <c r="N131" i="7" a="1"/>
  <c r="N131" i="7" s="1"/>
  <c r="N138" i="7" s="1"/>
  <c r="P61" i="7"/>
  <c r="P131" i="7" a="1"/>
  <c r="P131" i="7" s="1"/>
  <c r="P138" i="7" s="1"/>
  <c r="L61" i="7"/>
  <c r="L131" i="7" a="1"/>
  <c r="L131" i="7" s="1"/>
  <c r="K176" i="7"/>
  <c r="K177" i="7"/>
  <c r="M183" i="7" a="1"/>
  <c r="M183" i="7" s="1"/>
  <c r="N183" i="7" a="1"/>
  <c r="N183" i="7" s="1"/>
  <c r="P183" i="7" a="1"/>
  <c r="P183" i="7" s="1"/>
  <c r="P190" i="7" s="1"/>
  <c r="O183" i="7" a="1"/>
  <c r="O183" i="7" s="1"/>
  <c r="K170" i="7"/>
  <c r="K169" i="7"/>
  <c r="Q81" i="7"/>
  <c r="M122" i="7" a="1"/>
  <c r="M122" i="7" s="1"/>
  <c r="P122" i="7" a="1"/>
  <c r="P122" i="7" s="1"/>
  <c r="N122" i="7" a="1"/>
  <c r="N122" i="7" s="1"/>
  <c r="O122" i="7" a="1"/>
  <c r="O122" i="7" s="1"/>
  <c r="M114" i="7"/>
  <c r="M193" i="7" a="1"/>
  <c r="M193" i="7" s="1"/>
  <c r="N193" i="7" a="1"/>
  <c r="N193" i="7" s="1"/>
  <c r="O193" i="7" a="1"/>
  <c r="O193" i="7" s="1"/>
  <c r="P193" i="7" a="1"/>
  <c r="P193" i="7" s="1"/>
  <c r="N67" i="7"/>
  <c r="N48" i="7"/>
  <c r="N55" i="7"/>
  <c r="N79" i="7"/>
  <c r="N73" i="7"/>
  <c r="M79" i="7"/>
  <c r="M67" i="7"/>
  <c r="M73" i="7"/>
  <c r="O79" i="7"/>
  <c r="O55" i="7"/>
  <c r="O48" i="7"/>
  <c r="O73" i="7"/>
  <c r="O67" i="7"/>
  <c r="P55" i="7"/>
  <c r="P79" i="7"/>
  <c r="P73" i="7"/>
  <c r="P48" i="7"/>
  <c r="P67" i="7"/>
  <c r="M55" i="7"/>
  <c r="N184" i="7" l="1"/>
  <c r="N190" i="7"/>
  <c r="O184" i="7"/>
  <c r="O190" i="7"/>
  <c r="M184" i="7"/>
  <c r="M190" i="7"/>
  <c r="L138" i="7"/>
  <c r="L120" i="7"/>
  <c r="P123" i="7"/>
  <c r="P129" i="7"/>
  <c r="N123" i="7"/>
  <c r="N129" i="7"/>
  <c r="M123" i="7"/>
  <c r="M129" i="7"/>
  <c r="O123" i="7"/>
  <c r="O129" i="7"/>
  <c r="N114" i="7"/>
  <c r="N120" i="7"/>
  <c r="P114" i="7"/>
  <c r="P120" i="7"/>
  <c r="Q61" i="7"/>
  <c r="V56" i="7"/>
  <c r="V58" i="7" s="1"/>
  <c r="V59" i="7"/>
  <c r="V61" i="7" s="1"/>
  <c r="V91" i="7"/>
  <c r="V93" i="7" s="1"/>
  <c r="P132" i="7"/>
  <c r="P133" i="7"/>
  <c r="N132" i="7"/>
  <c r="N133" i="7"/>
  <c r="L132" i="7"/>
  <c r="L133" i="7"/>
  <c r="M133" i="7"/>
  <c r="O132" i="7"/>
  <c r="Q132" i="7" s="1"/>
  <c r="O133" i="7"/>
  <c r="Q131" i="7"/>
  <c r="Q138" i="7" s="1"/>
  <c r="P105" i="7"/>
  <c r="P106" i="7"/>
  <c r="N105" i="7"/>
  <c r="N106" i="7"/>
  <c r="O105" i="7"/>
  <c r="O106" i="7"/>
  <c r="M105" i="7"/>
  <c r="P184" i="7"/>
  <c r="P185" i="7"/>
  <c r="L122" i="7" a="1"/>
  <c r="L122" i="7" s="1"/>
  <c r="L123" i="7" s="1"/>
  <c r="M106" i="7"/>
  <c r="L193" i="7" a="1"/>
  <c r="L193" i="7" s="1"/>
  <c r="L67" i="7"/>
  <c r="Q67" i="7" s="1"/>
  <c r="M48" i="7"/>
  <c r="L79" i="7"/>
  <c r="Q79" i="7" s="1"/>
  <c r="L183" i="7" a="1"/>
  <c r="L183" i="7" s="1"/>
  <c r="L55" i="7"/>
  <c r="L73" i="7"/>
  <c r="Q73" i="7" s="1"/>
  <c r="L48" i="7"/>
  <c r="Q113" i="7"/>
  <c r="Q120" i="7" s="1"/>
  <c r="P195" i="7"/>
  <c r="O195" i="7"/>
  <c r="O194" i="7"/>
  <c r="M194" i="7"/>
  <c r="N195" i="7"/>
  <c r="N194" i="7"/>
  <c r="P194" i="7"/>
  <c r="O115" i="7"/>
  <c r="O114" i="7"/>
  <c r="N115" i="7"/>
  <c r="P115" i="7"/>
  <c r="Q193" i="7"/>
  <c r="Q104" i="7"/>
  <c r="Q111" i="7" s="1"/>
  <c r="L157" i="7" l="1" a="1"/>
  <c r="L157" i="7" s="1"/>
  <c r="L165" i="7" s="1"/>
  <c r="L190" i="7"/>
  <c r="Q55" i="7"/>
  <c r="Q123" i="7"/>
  <c r="L129" i="7"/>
  <c r="V88" i="7"/>
  <c r="V90" i="7" s="1"/>
  <c r="M195" i="7"/>
  <c r="Q133" i="7"/>
  <c r="L105" i="7"/>
  <c r="Q105" i="7" s="1"/>
  <c r="L106" i="7"/>
  <c r="Q106" i="7" s="1"/>
  <c r="Q48" i="7"/>
  <c r="L185" i="7"/>
  <c r="Q183" i="7"/>
  <c r="Q190" i="7" s="1"/>
  <c r="Q122" i="7"/>
  <c r="Q129" i="7" s="1"/>
  <c r="L194" i="7"/>
  <c r="Q194" i="7" s="1"/>
  <c r="L195" i="7"/>
  <c r="M115" i="7"/>
  <c r="L114" i="7"/>
  <c r="Q114" i="7" s="1"/>
  <c r="L115" i="7"/>
  <c r="L184" i="7"/>
  <c r="Q184" i="7" s="1"/>
  <c r="Q195" i="7" l="1"/>
  <c r="L158" i="7"/>
  <c r="L181" i="7"/>
  <c r="L167" i="7" s="1"/>
  <c r="L172" i="7" s="1"/>
  <c r="L160" i="7"/>
  <c r="L174" i="7" l="1"/>
  <c r="L179" i="7" s="1"/>
  <c r="M157" i="7" a="1"/>
  <c r="M157" i="7" s="1"/>
  <c r="L159" i="7"/>
  <c r="M181" i="7" l="1"/>
  <c r="M167" i="7" s="1"/>
  <c r="M172" i="7" s="1"/>
  <c r="M165" i="7"/>
  <c r="L168" i="7"/>
  <c r="L170" i="7"/>
  <c r="L175" i="7"/>
  <c r="L176" i="7"/>
  <c r="L177" i="7"/>
  <c r="M158" i="7"/>
  <c r="M160" i="7"/>
  <c r="M159" i="7" l="1"/>
  <c r="N157" i="7" a="1"/>
  <c r="N157" i="7" s="1"/>
  <c r="N165" i="7" s="1"/>
  <c r="M174" i="7"/>
  <c r="M179" i="7" s="1"/>
  <c r="M168" i="7"/>
  <c r="M170" i="7"/>
  <c r="M176" i="7" l="1"/>
  <c r="M177" i="7"/>
  <c r="M175" i="7"/>
  <c r="N160" i="7"/>
  <c r="N181" i="7"/>
  <c r="N174" i="7" s="1"/>
  <c r="N179" i="7" s="1"/>
  <c r="N158" i="7"/>
  <c r="L169" i="7"/>
  <c r="O157" i="7" l="1" a="1"/>
  <c r="O157" i="7" s="1"/>
  <c r="O165" i="7" s="1"/>
  <c r="N159" i="7"/>
  <c r="N167" i="7"/>
  <c r="N172" i="7" s="1"/>
  <c r="N175" i="7"/>
  <c r="N177" i="7"/>
  <c r="N176" i="7"/>
  <c r="M169" i="7"/>
  <c r="O160" i="7" l="1"/>
  <c r="O181" i="7"/>
  <c r="O158" i="7"/>
  <c r="N170" i="7"/>
  <c r="N168" i="7"/>
  <c r="O167" i="7"/>
  <c r="O172" i="7" s="1"/>
  <c r="O174" i="7"/>
  <c r="O179" i="7" s="1"/>
  <c r="O159" i="7"/>
  <c r="P157" i="7" a="1"/>
  <c r="P157" i="7" s="1"/>
  <c r="P165" i="7" s="1"/>
  <c r="N169" i="7"/>
  <c r="V83" i="7" l="1"/>
  <c r="V85" i="7" s="1"/>
  <c r="V80" i="7"/>
  <c r="V82" i="7" s="1"/>
  <c r="Q157" i="7"/>
  <c r="P160" i="7"/>
  <c r="Q160" i="7" s="1"/>
  <c r="P158" i="7"/>
  <c r="Q158" i="7" s="1"/>
  <c r="Q165" i="7" s="1"/>
  <c r="P181" i="7"/>
  <c r="Q181" i="7" s="1"/>
  <c r="O175" i="7"/>
  <c r="O176" i="7"/>
  <c r="O177" i="7"/>
  <c r="O168" i="7"/>
  <c r="O170" i="7"/>
  <c r="O169" i="7"/>
  <c r="Q172" i="7" l="1"/>
  <c r="Q179" i="7" s="1"/>
  <c r="P174" i="7"/>
  <c r="P179" i="7" s="1"/>
  <c r="P167" i="7"/>
  <c r="P159" i="7"/>
  <c r="Q167" i="7" l="1"/>
  <c r="P172" i="7"/>
  <c r="Q159" i="7"/>
  <c r="P169" i="7"/>
  <c r="Q169" i="7" s="1"/>
  <c r="P176" i="7"/>
  <c r="Q176" i="7" s="1"/>
  <c r="P175" i="7"/>
  <c r="Q175" i="7" s="1"/>
  <c r="P177" i="7"/>
  <c r="P168" i="7"/>
  <c r="Q168" i="7" s="1"/>
  <c r="P170" i="7"/>
  <c r="Q170" i="7" s="1"/>
  <c r="M185" i="7"/>
  <c r="O185" i="7" l="1"/>
  <c r="N185" i="7"/>
  <c r="Q174" i="7"/>
  <c r="Q185" i="7" l="1"/>
  <c r="Q177" i="7"/>
  <c r="K115" i="7" l="1"/>
  <c r="Q115" i="7" s="1"/>
  <c r="K124" i="7"/>
  <c r="K141" i="7"/>
  <c r="K144" i="7" l="1"/>
  <c r="K142" i="7"/>
  <c r="K149" i="7" l="1" a="1"/>
  <c r="K149" i="7" s="1"/>
  <c r="K145" i="7"/>
  <c r="K155" i="7" l="1"/>
  <c r="K200" i="7" s="1"/>
  <c r="K150" i="7"/>
  <c r="L124" i="7"/>
  <c r="N124" i="7"/>
  <c r="O124" i="7"/>
  <c r="M124" i="7"/>
  <c r="L141" i="7"/>
  <c r="L144" i="7" s="1"/>
  <c r="O141" i="7"/>
  <c r="M141" i="7"/>
  <c r="M144" i="7" s="1"/>
  <c r="N141" i="7"/>
  <c r="P124" i="7"/>
  <c r="P141" i="7"/>
  <c r="K204" i="7" l="1"/>
  <c r="K205" i="7"/>
  <c r="K201" i="7"/>
  <c r="L149" i="7" a="1"/>
  <c r="L149" i="7" s="1"/>
  <c r="M149" i="7" a="1"/>
  <c r="M149" i="7" s="1"/>
  <c r="Q141" i="7"/>
  <c r="V64" i="7"/>
  <c r="V66" i="7" s="1"/>
  <c r="V67" i="7"/>
  <c r="V69" i="7" s="1"/>
  <c r="P142" i="7"/>
  <c r="P144" i="7"/>
  <c r="N142" i="7"/>
  <c r="N144" i="7"/>
  <c r="O142" i="7"/>
  <c r="Q124" i="7"/>
  <c r="O144" i="7"/>
  <c r="L145" i="7"/>
  <c r="M145" i="7"/>
  <c r="L142" i="7"/>
  <c r="M142" i="7"/>
  <c r="M155" i="7" l="1"/>
  <c r="L155" i="7"/>
  <c r="M150" i="7"/>
  <c r="N145" i="7"/>
  <c r="V72" i="7"/>
  <c r="V74" i="7" s="1"/>
  <c r="O149" i="7" a="1"/>
  <c r="O149" i="7" s="1"/>
  <c r="N149" i="7" a="1"/>
  <c r="N149" i="7" s="1"/>
  <c r="P149" i="7" a="1"/>
  <c r="P149" i="7" s="1"/>
  <c r="Q144" i="7"/>
  <c r="V42" i="7" s="1" a="1"/>
  <c r="V42" i="7" s="1"/>
  <c r="P145" i="7"/>
  <c r="O145" i="7"/>
  <c r="M200" i="7"/>
  <c r="L150" i="7"/>
  <c r="L200" i="7"/>
  <c r="L204" i="7" s="1"/>
  <c r="P150" i="7" l="1"/>
  <c r="O150" i="7"/>
  <c r="N150" i="7"/>
  <c r="N155" i="7"/>
  <c r="N200" i="7" s="1"/>
  <c r="N201" i="7" s="1"/>
  <c r="O155" i="7"/>
  <c r="P155" i="7"/>
  <c r="Q145" i="7"/>
  <c r="Q149" i="7"/>
  <c r="Q150" i="7"/>
  <c r="M204" i="7"/>
  <c r="M205" i="7"/>
  <c r="L205" i="7"/>
  <c r="L201" i="7"/>
  <c r="M201" i="7"/>
  <c r="P200" i="7" l="1"/>
  <c r="V75" i="7"/>
  <c r="V77" i="7" s="1"/>
  <c r="O200" i="7"/>
  <c r="O204" i="7" s="1"/>
  <c r="Q155" i="7"/>
  <c r="N205" i="7"/>
  <c r="N204" i="7"/>
  <c r="O201" i="7" l="1"/>
  <c r="O205" i="7"/>
  <c r="Q200" i="7"/>
  <c r="V41" i="7" s="1" a="1"/>
  <c r="V41" i="7" s="1"/>
  <c r="P201" i="7"/>
  <c r="P205" i="7"/>
  <c r="P204" i="7"/>
  <c r="Q201" i="7" l="1"/>
  <c r="V43" i="7"/>
  <c r="T11" i="7"/>
  <c r="O11" i="7" s="1"/>
  <c r="O6" i="7"/>
  <c r="U6" i="7"/>
  <c r="U11" i="7" s="1"/>
  <c r="V45" i="7" l="1"/>
  <c r="Q203" i="7" s="1" a="1"/>
  <c r="Q203" i="7" s="1"/>
  <c r="Q204" i="7" s="1"/>
  <c r="D209" i="7" s="1" a="1"/>
  <c r="D209" i="7" s="1"/>
  <c r="V44" i="7"/>
  <c r="D212" i="7" l="1"/>
  <c r="D214" i="7" s="1"/>
  <c r="V209" i="7" l="1"/>
  <c r="V214" i="7"/>
  <c r="Q205" i="7"/>
  <c r="V210" i="7" s="1"/>
  <c r="V21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<sst xmlns="http://schemas.openxmlformats.org/spreadsheetml/2006/main" count="1345" uniqueCount="590">
  <si>
    <t>Date</t>
  </si>
  <si>
    <t>Open</t>
  </si>
  <si>
    <t>High</t>
  </si>
  <si>
    <t>Low</t>
  </si>
  <si>
    <t>Close</t>
  </si>
  <si>
    <t>Adj Close</t>
  </si>
  <si>
    <t>Volume</t>
  </si>
  <si>
    <t>Row Labels</t>
  </si>
  <si>
    <t>Grand Total</t>
  </si>
  <si>
    <t>Mar</t>
  </si>
  <si>
    <t>Apr</t>
  </si>
  <si>
    <t>May</t>
  </si>
  <si>
    <t>Jun</t>
  </si>
  <si>
    <t>Jul</t>
  </si>
  <si>
    <t>Aug</t>
  </si>
  <si>
    <t>Sep</t>
  </si>
  <si>
    <t>Oct</t>
  </si>
  <si>
    <t>Nov</t>
  </si>
  <si>
    <t>Dec</t>
  </si>
  <si>
    <t>Jan</t>
  </si>
  <si>
    <t>Feb</t>
  </si>
  <si>
    <t>2010</t>
  </si>
  <si>
    <t>2011</t>
  </si>
  <si>
    <t>2012</t>
  </si>
  <si>
    <t>2013</t>
  </si>
  <si>
    <t>2014</t>
  </si>
  <si>
    <t>2015</t>
  </si>
  <si>
    <t>2016</t>
  </si>
  <si>
    <t>2017</t>
  </si>
  <si>
    <t>2018</t>
  </si>
  <si>
    <t>2019</t>
  </si>
  <si>
    <t>2020</t>
  </si>
  <si>
    <t>2021</t>
  </si>
  <si>
    <t>2022</t>
  </si>
  <si>
    <t>Average of Close</t>
  </si>
  <si>
    <t>Column Labels</t>
  </si>
  <si>
    <t>Assumptions</t>
  </si>
  <si>
    <t>Tax Rate</t>
  </si>
  <si>
    <t>Transaction Date</t>
  </si>
  <si>
    <t>Fiscal Year End</t>
  </si>
  <si>
    <t>Current Price</t>
  </si>
  <si>
    <t>Shares Outstanding</t>
  </si>
  <si>
    <t>Debt</t>
  </si>
  <si>
    <t>Cash</t>
  </si>
  <si>
    <t>Discounted Cash Flow</t>
  </si>
  <si>
    <t>Terminal Value</t>
  </si>
  <si>
    <t>Time Periods</t>
  </si>
  <si>
    <t>EV/EBITDA</t>
  </si>
  <si>
    <t>Year Fraction</t>
  </si>
  <si>
    <t>Average</t>
  </si>
  <si>
    <t>EBIT</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</si>
  <si>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</si>
  <si>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</si>
  <si>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</si>
  <si>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</si>
  <si>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</si>
  <si>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</si>
  <si>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</si>
  <si>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</si>
  <si>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</si>
  <si>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</si>
  <si>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</si>
  <si>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</si>
  <si>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</si>
  <si>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</si>
  <si>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</si>
  <si>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</si>
  <si>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Instructions</t>
  </si>
  <si>
    <t>Step 1: Get EBIT and D&amp;A from the income statement</t>
  </si>
  <si>
    <t>Step 2: Calculate the net working capital</t>
  </si>
  <si>
    <t>There are two ways to find NWC:</t>
  </si>
  <si>
    <t>1. NWC = Current Assets (less cash) - Current Liabilities (less debt)</t>
  </si>
  <si>
    <t>2. NWC = Accounts Receivable + Inventory - Accounts Payable</t>
  </si>
  <si>
    <t>Unlevered FCF Growth</t>
  </si>
  <si>
    <t>Year</t>
  </si>
  <si>
    <t>MPire Capital</t>
  </si>
  <si>
    <t>All numbers in millions except for price</t>
  </si>
  <si>
    <t>Projections</t>
  </si>
  <si>
    <t>Historical</t>
  </si>
  <si>
    <t>Median</t>
  </si>
  <si>
    <t>Min</t>
  </si>
  <si>
    <t>Max</t>
  </si>
  <si>
    <t>Mean</t>
  </si>
  <si>
    <t>FCF</t>
  </si>
  <si>
    <t>YoY</t>
  </si>
  <si>
    <t>D&amp;A</t>
  </si>
  <si>
    <t>TAXES</t>
  </si>
  <si>
    <t>REVENUE</t>
  </si>
  <si>
    <t>PRE-TAX INCOME</t>
  </si>
  <si>
    <t>WACC</t>
  </si>
  <si>
    <t>Market Price</t>
  </si>
  <si>
    <t>Intrinsic Price</t>
  </si>
  <si>
    <t>CPI for All Urban Consumers (CPI-U)</t>
  </si>
  <si>
    <t>1-Month Percent Change</t>
  </si>
  <si>
    <t>Series Id:</t>
  </si>
  <si>
    <t>CUSR0000SA0</t>
  </si>
  <si>
    <t>Seasonally Adjusted</t>
  </si>
  <si>
    <t>Series Title:</t>
  </si>
  <si>
    <t>All items in U.S. city average, all urban consumers, seasonally adjusted</t>
  </si>
  <si>
    <t>Area:</t>
  </si>
  <si>
    <t>U.S. city average</t>
  </si>
  <si>
    <t>Item:</t>
  </si>
  <si>
    <t>All items</t>
  </si>
  <si>
    <t>Base Period:</t>
  </si>
  <si>
    <t>1982-84=100</t>
  </si>
  <si>
    <t>Years:</t>
  </si>
  <si>
    <t>2012 to 2022</t>
  </si>
  <si>
    <t>HALF1</t>
  </si>
  <si>
    <t>HALF2</t>
  </si>
  <si>
    <t>Sum of Close</t>
  </si>
  <si>
    <t>Correlation</t>
  </si>
  <si>
    <t>Slope</t>
  </si>
  <si>
    <t>Revenue</t>
  </si>
  <si>
    <t xml:space="preserve">  % growth</t>
  </si>
  <si>
    <t xml:space="preserve">  Conservative</t>
  </si>
  <si>
    <t xml:space="preserve">  Base</t>
  </si>
  <si>
    <t xml:space="preserve">  Optimistic</t>
  </si>
  <si>
    <t>Conservative Case</t>
  </si>
  <si>
    <t>Base Case</t>
  </si>
  <si>
    <t>Optimistic Case</t>
  </si>
  <si>
    <t>Netflix, Inc.</t>
  </si>
  <si>
    <t>Consolidated Statements of Operations</t>
  </si>
  <si>
    <t>(unaudited)</t>
  </si>
  <si>
    <t>(in thousands, except per share data)</t>
  </si>
  <si>
    <t>Three Months Ended</t>
  </si>
  <si>
    <t>Twelve Months Ended</t>
  </si>
  <si>
    <t>March 31,</t>
  </si>
  <si>
    <t>June 30,</t>
  </si>
  <si>
    <t>September 30,</t>
  </si>
  <si>
    <t>December 31,</t>
  </si>
  <si>
    <t>Revenues</t>
  </si>
  <si>
    <t>Cost of revenues</t>
  </si>
  <si>
    <t>Marketing</t>
  </si>
  <si>
    <t>Technology and development</t>
  </si>
  <si>
    <t>General and administrative</t>
  </si>
  <si>
    <t>Operating income</t>
  </si>
  <si>
    <t>Other income (expense):</t>
  </si>
  <si>
    <t xml:space="preserve">Interest expense </t>
  </si>
  <si>
    <t>Interest and other income (expense)</t>
  </si>
  <si>
    <t>Income before income taxes</t>
  </si>
  <si>
    <t>Benefit from (provision for) income taxes</t>
  </si>
  <si>
    <t>Net income</t>
  </si>
  <si>
    <t>Earnings per share:</t>
  </si>
  <si>
    <t>Basic</t>
  </si>
  <si>
    <t>Diluted</t>
  </si>
  <si>
    <t>Weighted-average shares of common stock outstanding:</t>
  </si>
  <si>
    <t>Consolidated Balance Sheets</t>
  </si>
  <si>
    <t>(in thousands)</t>
  </si>
  <si>
    <t>Assets</t>
  </si>
  <si>
    <t>Current assets:</t>
  </si>
  <si>
    <t>Cash and cash equivalents</t>
  </si>
  <si>
    <t>Other current assets</t>
  </si>
  <si>
    <t>Total current assets</t>
  </si>
  <si>
    <t>Content assets, net</t>
  </si>
  <si>
    <t>Property and equipment, net</t>
  </si>
  <si>
    <t>Other non-current assets</t>
  </si>
  <si>
    <t>Total assets</t>
  </si>
  <si>
    <t>Liabilities and Stockholders' Equity</t>
  </si>
  <si>
    <t>Current liabilities:</t>
  </si>
  <si>
    <t>Current content liabilities</t>
  </si>
  <si>
    <t>Accounts payable</t>
  </si>
  <si>
    <t>Accrued expenses and other liabilities</t>
  </si>
  <si>
    <t>Deferred revenue</t>
  </si>
  <si>
    <t>Short-term debt</t>
  </si>
  <si>
    <t>Total current liabilities</t>
  </si>
  <si>
    <t>Non-current content liabilities</t>
  </si>
  <si>
    <t>Long-term debt</t>
  </si>
  <si>
    <t>Other non-current liabilities</t>
  </si>
  <si>
    <t>Total liabilities</t>
  </si>
  <si>
    <t>Stockholders' equity:</t>
  </si>
  <si>
    <t>Common stock</t>
  </si>
  <si>
    <t>Treasury stock at cost</t>
  </si>
  <si>
    <t>Accumulated other comprehensive income (loss)</t>
  </si>
  <si>
    <t>Retained earnings</t>
  </si>
  <si>
    <t>Total stockholders' equity</t>
  </si>
  <si>
    <t>Total liabilities and stockholders' equity</t>
  </si>
  <si>
    <t>Consolidated Statements of Cash Flows</t>
  </si>
  <si>
    <t>Cash flows from operating activities:</t>
  </si>
  <si>
    <t>Adjustments to reconcile net income to net cash</t>
  </si>
  <si>
    <t>provided by (used in) operating activities:</t>
  </si>
  <si>
    <t>Additions to content assets</t>
  </si>
  <si>
    <t>Change in content liabilities</t>
  </si>
  <si>
    <t>Amortization of content assets</t>
  </si>
  <si>
    <t>Depreciation and amortization of property, equipment and intangibles</t>
  </si>
  <si>
    <t>Stock-based compensation expense</t>
  </si>
  <si>
    <t>Foreign currency remeasurement loss (gain) on debt</t>
  </si>
  <si>
    <t>Other non-cash items</t>
  </si>
  <si>
    <t>Deferred income taxes</t>
  </si>
  <si>
    <t>Changes in operating assets and liabilities:</t>
  </si>
  <si>
    <t>Other non-current assets and liabilities</t>
  </si>
  <si>
    <t>Net cash provided by (used in) operating activities</t>
  </si>
  <si>
    <t>Cash flows from investing activities:</t>
  </si>
  <si>
    <t>Purchases of property and equipment</t>
  </si>
  <si>
    <t>Change in other assets</t>
  </si>
  <si>
    <t>Acquisitions</t>
  </si>
  <si>
    <t>Net cash used in investing activities</t>
  </si>
  <si>
    <t>Cash flows from financing activities:</t>
  </si>
  <si>
    <t>Proceeds from issuance of debt</t>
  </si>
  <si>
    <t>Debt issuance costs</t>
  </si>
  <si>
    <t>Repayments of debt</t>
  </si>
  <si>
    <t>Proceeds from issuance of common stock</t>
  </si>
  <si>
    <t>Repurchases of common stock</t>
  </si>
  <si>
    <t>Taxes paid related to net share settlement of equity awards</t>
  </si>
  <si>
    <t>Net cash provided by (used in) financing activities</t>
  </si>
  <si>
    <t>Effect of exchange rate changes on cash, cash equivalents, and restricted cash</t>
  </si>
  <si>
    <t>Net increase (decrease) in cash, cash equivalents, and restricted cash</t>
  </si>
  <si>
    <t>Cash, cash equivalents, and restricted cash beginning of period</t>
  </si>
  <si>
    <t xml:space="preserve"> Cash, cash equivalents, and restricted cash end of period</t>
  </si>
  <si>
    <t>Non-GAAP free cash flow reconciliation:</t>
  </si>
  <si>
    <t>Non-GAAP free cash flow</t>
  </si>
  <si>
    <t>Streaming Revenue and Membership Information by Region</t>
  </si>
  <si>
    <t>(in thousands, except for average revenue per membership and percentages)</t>
  </si>
  <si>
    <t>As of / Three Months Ended</t>
  </si>
  <si>
    <t>As of / Year Ended</t>
  </si>
  <si>
    <t>United States and Canada (UCAN)</t>
  </si>
  <si>
    <t>Revenues (1)</t>
  </si>
  <si>
    <t>Paid net membership additions (losses)</t>
  </si>
  <si>
    <t>Paid memberships at end of period</t>
  </si>
  <si>
    <t>Average paying memberships</t>
  </si>
  <si>
    <t>Average revenue per membership (2)</t>
  </si>
  <si>
    <t>% change as compared to prior-year period</t>
  </si>
  <si>
    <t>Constant currency % change as compared to prior-year period*</t>
  </si>
  <si>
    <t>Europe, Middle East and Africa (EMEA)</t>
  </si>
  <si>
    <t>Latin America (LATAM)</t>
  </si>
  <si>
    <t>Asia-Pacific (APAC)</t>
  </si>
  <si>
    <t>Paid net membership additions</t>
  </si>
  <si>
    <t>(1) Excludes DVD revenues of $239 million, $182 million and $40 million for the years ended December 31, 2020, 2021, and the three months ended March 31, 2022, respectively.  Total US revenues for the years ended December 31, 2020, 2021, and the three months ended March 31, 2022 were $10.8 billion, $12.1 billion and $3.1 billion, respectively.</t>
  </si>
  <si>
    <t>(2) Average revenue per membership (ARM) is defined as streaming revenue divided by the average number of streaming paid memberships divided by the number of months in the period. These figures do not include sales taxes or VAT.</t>
  </si>
  <si>
    <t>* The company believes that constant currency information is useful in analyzing the underlying trends in average revenue per membership.  In order to exclude the effect of foreign currency rate fluctuations on average revenue per membership, the Company estimates the current period revenue assuming foreign exchange rates had remained constant with foreign exchange rates from each of the corresponding months of the prior-year period.</t>
  </si>
  <si>
    <t xml:space="preserve">     United States and Canada (UCAN)</t>
  </si>
  <si>
    <t xml:space="preserve">     Europe, Middle East and Africa (EMEA)</t>
  </si>
  <si>
    <t xml:space="preserve">     Latin America (LATAM)</t>
  </si>
  <si>
    <t xml:space="preserve">     Asia-Pacific (APAC)</t>
  </si>
  <si>
    <t>Base</t>
  </si>
  <si>
    <t>Target GDP Growth</t>
  </si>
  <si>
    <t>Conservative</t>
  </si>
  <si>
    <t>Optimistic</t>
  </si>
  <si>
    <t>% growth</t>
  </si>
  <si>
    <t>Cost of Revenues</t>
  </si>
  <si>
    <t xml:space="preserve">  United States and Canada (UCAN)</t>
  </si>
  <si>
    <t xml:space="preserve">  Europe, Middle East and Africa (EMEA)</t>
  </si>
  <si>
    <t xml:space="preserve">  Latin America (LATAM)</t>
  </si>
  <si>
    <t xml:space="preserve">  Asia-Pacific (APAC)</t>
  </si>
  <si>
    <t>% change</t>
  </si>
  <si>
    <t xml:space="preserve">  EBIT Growth</t>
  </si>
  <si>
    <t>Taxes</t>
  </si>
  <si>
    <t>Total Expenses</t>
  </si>
  <si>
    <t>Unlevered FCF</t>
  </si>
  <si>
    <t>PP&amp;E</t>
  </si>
  <si>
    <t>CURRENT ASSETS</t>
  </si>
  <si>
    <t>CURRENT LIABILTIES</t>
  </si>
  <si>
    <t>CURRENT LIABILITES</t>
  </si>
  <si>
    <t xml:space="preserve">  % of Revenue</t>
  </si>
  <si>
    <t xml:space="preserve">  Income statement</t>
  </si>
  <si>
    <t>COST OF REVENUE</t>
  </si>
  <si>
    <t>COGS</t>
  </si>
  <si>
    <t>MATCH</t>
  </si>
  <si>
    <t>EBIAT/NOPAT</t>
  </si>
  <si>
    <t>EBIT/Operating Income</t>
  </si>
  <si>
    <t>Less: Capital Expenditures (CAPEX)</t>
  </si>
  <si>
    <t>Less: Changes in Net Working Capital (NWC)</t>
  </si>
  <si>
    <t>CONTENT AND LONG ASSETS</t>
  </si>
  <si>
    <t>CONTENT ASSETS</t>
  </si>
  <si>
    <t>Content Assets</t>
  </si>
  <si>
    <t>Property, Plant and Equipment</t>
  </si>
  <si>
    <t>Total</t>
  </si>
  <si>
    <t>NWC</t>
  </si>
  <si>
    <t xml:space="preserve">  % Growth</t>
  </si>
  <si>
    <t xml:space="preserve">  % of All Long-term Assets</t>
  </si>
  <si>
    <t xml:space="preserve">  UCAN</t>
  </si>
  <si>
    <t xml:space="preserve">  EMEA</t>
  </si>
  <si>
    <t xml:space="preserve">  LATAM</t>
  </si>
  <si>
    <t xml:space="preserve">  APAC</t>
  </si>
  <si>
    <t>CAPEX</t>
  </si>
  <si>
    <t>TGR</t>
  </si>
  <si>
    <t>UCAN</t>
  </si>
  <si>
    <t>Total Revenue</t>
  </si>
  <si>
    <t xml:space="preserve">  % of EBIT</t>
  </si>
  <si>
    <t>TAX</t>
  </si>
  <si>
    <t>CHANGE IN NWC</t>
  </si>
  <si>
    <t>DELTA NWC</t>
  </si>
  <si>
    <t>Terminal</t>
  </si>
  <si>
    <t>Entry</t>
  </si>
  <si>
    <t>Terminal Date</t>
  </si>
  <si>
    <t>Marketing % of Revenue</t>
  </si>
  <si>
    <t>COR % of Revenue</t>
  </si>
  <si>
    <t>Target Avg Inflation Rate</t>
  </si>
  <si>
    <t>Diversification % of Revenue</t>
  </si>
  <si>
    <t>COSTS</t>
  </si>
  <si>
    <t xml:space="preserve">  MARKETING</t>
  </si>
  <si>
    <t>Marketing % Rev</t>
  </si>
  <si>
    <t>Diversification % Rev</t>
  </si>
  <si>
    <t xml:space="preserve">  COST OF REVENUE</t>
  </si>
  <si>
    <t xml:space="preserve">  TECH &amp; DEV</t>
  </si>
  <si>
    <t>EMEA</t>
  </si>
  <si>
    <t>LATAM</t>
  </si>
  <si>
    <t>APAC</t>
  </si>
  <si>
    <t>TOTAL</t>
  </si>
  <si>
    <t>DIVIR</t>
  </si>
  <si>
    <t>Penetration</t>
  </si>
  <si>
    <t>Customers</t>
  </si>
  <si>
    <t>Disney+</t>
  </si>
  <si>
    <t>HBO Max</t>
  </si>
  <si>
    <t>Netflix</t>
  </si>
  <si>
    <t>Hulu</t>
  </si>
  <si>
    <t>Market Saturation 2021</t>
  </si>
  <si>
    <t>Market Size and Penetration in Households 2021</t>
  </si>
  <si>
    <t>% of Total</t>
  </si>
  <si>
    <t>Prime Video</t>
  </si>
  <si>
    <t>Market Share by Households 2021</t>
  </si>
  <si>
    <t>Opportunity</t>
  </si>
  <si>
    <t xml:space="preserve">  SG&amp;A</t>
  </si>
  <si>
    <t>Share %</t>
  </si>
  <si>
    <t>Diff Vs. Street</t>
  </si>
  <si>
    <t>Scenarios</t>
  </si>
  <si>
    <t>EV/EBITDA Multiple</t>
  </si>
  <si>
    <t>Perpetual Growth</t>
  </si>
  <si>
    <t>Total Long-term Assets</t>
  </si>
  <si>
    <t>Gain/Loss</t>
  </si>
  <si>
    <t>Discounted Cash Flow Model</t>
  </si>
  <si>
    <t xml:space="preserve">  Wall St. Estimates</t>
  </si>
  <si>
    <t xml:space="preserve">  Anomalous  Adjustment (Recessions, Pivots)</t>
  </si>
  <si>
    <t xml:space="preserve">     Diversification: Sports, Gaming &amp; Podcasts</t>
  </si>
  <si>
    <t>Delta</t>
  </si>
  <si>
    <t>Revenue Sanity Check</t>
  </si>
  <si>
    <t>Cost of Revenue Sanity Check</t>
  </si>
  <si>
    <t>Total Expenses Sanity Check</t>
  </si>
  <si>
    <t>Capex Sanity Check</t>
  </si>
  <si>
    <t>D&amp;A Sanity Check</t>
  </si>
  <si>
    <t>EBIT Sanity Check</t>
  </si>
  <si>
    <t>YoY Change %</t>
  </si>
  <si>
    <t>% Growth</t>
  </si>
  <si>
    <t>Revenue Conservative Factor</t>
  </si>
  <si>
    <t>Most Realistic Scenario</t>
  </si>
  <si>
    <t>Plus: Depreciation &amp; Amortizations</t>
  </si>
  <si>
    <t>6 yrs % Change</t>
  </si>
  <si>
    <t>6 yrs Historical % Change</t>
  </si>
  <si>
    <t>Country</t>
  </si>
  <si>
    <t>Continent</t>
  </si>
  <si>
    <t>Current Population</t>
  </si>
  <si>
    <t>Number In Household</t>
  </si>
  <si>
    <t>Households</t>
  </si>
  <si>
    <t>% 1 Member</t>
  </si>
  <si>
    <t>% 2-3 Members</t>
  </si>
  <si>
    <t>% 4-5 Members</t>
  </si>
  <si>
    <t>% 6+ Members</t>
  </si>
  <si>
    <t> China</t>
  </si>
  <si>
    <t>Asia</t>
  </si>
  <si>
    <t>2020[2]</t>
  </si>
  <si>
    <t> India</t>
  </si>
  <si>
    <t>2015[2]</t>
  </si>
  <si>
    <t> United States</t>
  </si>
  <si>
    <t>North America</t>
  </si>
  <si>
    <t> Indonesia</t>
  </si>
  <si>
    <t>2017[2]</t>
  </si>
  <si>
    <t> Brazil</t>
  </si>
  <si>
    <t>South America</t>
  </si>
  <si>
    <t>2010[2]</t>
  </si>
  <si>
    <t> Russia</t>
  </si>
  <si>
    <t>Europe</t>
  </si>
  <si>
    <t> Japan</t>
  </si>
  <si>
    <t> Nigeria</t>
  </si>
  <si>
    <t>Africa</t>
  </si>
  <si>
    <t> Germany</t>
  </si>
  <si>
    <t>2011[2]</t>
  </si>
  <si>
    <t> Bangladesh</t>
  </si>
  <si>
    <t>2014[2]</t>
  </si>
  <si>
    <t> Mexico</t>
  </si>
  <si>
    <t> Pakistan</t>
  </si>
  <si>
    <t>2013[2]</t>
  </si>
  <si>
    <t> France</t>
  </si>
  <si>
    <t> United Kingdom</t>
  </si>
  <si>
    <t> Philippines</t>
  </si>
  <si>
    <t> Vietnam</t>
  </si>
  <si>
    <t>2009[2]</t>
  </si>
  <si>
    <t> Italy</t>
  </si>
  <si>
    <t> Egypt</t>
  </si>
  <si>
    <t> Iran</t>
  </si>
  <si>
    <t>Middle East</t>
  </si>
  <si>
    <t>2016[2]</t>
  </si>
  <si>
    <t> Ethiopia</t>
  </si>
  <si>
    <t> Korea, South</t>
  </si>
  <si>
    <t> Turkey</t>
  </si>
  <si>
    <t>2004[2]</t>
  </si>
  <si>
    <t> DR Congo</t>
  </si>
  <si>
    <t> Thailand</t>
  </si>
  <si>
    <t> South Africa</t>
  </si>
  <si>
    <t> Spain</t>
  </si>
  <si>
    <t> Ukraine</t>
  </si>
  <si>
    <t>2007[2]</t>
  </si>
  <si>
    <t> Canada</t>
  </si>
  <si>
    <t> Colombia</t>
  </si>
  <si>
    <t> Argentina</t>
  </si>
  <si>
    <t> Poland</t>
  </si>
  <si>
    <t> Kenya</t>
  </si>
  <si>
    <t> Myanmar</t>
  </si>
  <si>
    <t> Tanzania</t>
  </si>
  <si>
    <t> Australia</t>
  </si>
  <si>
    <t>Australasia</t>
  </si>
  <si>
    <t> Uganda</t>
  </si>
  <si>
    <t> Ghana</t>
  </si>
  <si>
    <t> Peru</t>
  </si>
  <si>
    <t>2012[2]</t>
  </si>
  <si>
    <t> Netherlands</t>
  </si>
  <si>
    <t> Sudan</t>
  </si>
  <si>
    <t>2008[2]</t>
  </si>
  <si>
    <t> Malaysia</t>
  </si>
  <si>
    <t>2000[2]</t>
  </si>
  <si>
    <t>   Nepal</t>
  </si>
  <si>
    <t> Morocco</t>
  </si>
  <si>
    <t> Mozambique</t>
  </si>
  <si>
    <t> Romania</t>
  </si>
  <si>
    <t> Uzbekistan</t>
  </si>
  <si>
    <t>1996[2]</t>
  </si>
  <si>
    <t> Venezuela</t>
  </si>
  <si>
    <t>2001[2]</t>
  </si>
  <si>
    <t> Korea, North</t>
  </si>
  <si>
    <t> Angola</t>
  </si>
  <si>
    <t> Chile</t>
  </si>
  <si>
    <t>2002[2]</t>
  </si>
  <si>
    <t> Kazakhstan</t>
  </si>
  <si>
    <t> Madagascar</t>
  </si>
  <si>
    <t> Iraq</t>
  </si>
  <si>
    <t>1997[2]</t>
  </si>
  <si>
    <t> Ivory Coast</t>
  </si>
  <si>
    <t> Belgium</t>
  </si>
  <si>
    <t> Cameroon</t>
  </si>
  <si>
    <t> Ecuador</t>
  </si>
  <si>
    <t> Yemen</t>
  </si>
  <si>
    <t> Czech Republic</t>
  </si>
  <si>
    <t> Greece</t>
  </si>
  <si>
    <t> Afghanistan</t>
  </si>
  <si>
    <t> Malawi</t>
  </si>
  <si>
    <t> Austria</t>
  </si>
  <si>
    <t> Niger</t>
  </si>
  <si>
    <t>  Switzerland</t>
  </si>
  <si>
    <t> Portugal</t>
  </si>
  <si>
    <t> Zimbabwe</t>
  </si>
  <si>
    <t> Belarus</t>
  </si>
  <si>
    <t> Hungary</t>
  </si>
  <si>
    <t> Burkina Faso</t>
  </si>
  <si>
    <t> Cuba</t>
  </si>
  <si>
    <t>Caribbean</t>
  </si>
  <si>
    <t> Guatemala</t>
  </si>
  <si>
    <t>Central America</t>
  </si>
  <si>
    <t> Zambia</t>
  </si>
  <si>
    <t> Mali</t>
  </si>
  <si>
    <t>2018[2]</t>
  </si>
  <si>
    <t> Cambodia</t>
  </si>
  <si>
    <t> Bolivia</t>
  </si>
  <si>
    <t> Dominican Republic</t>
  </si>
  <si>
    <t> Bulgaria</t>
  </si>
  <si>
    <t> Rwanda</t>
  </si>
  <si>
    <t> Israel</t>
  </si>
  <si>
    <t> Chad</t>
  </si>
  <si>
    <t> Haiti</t>
  </si>
  <si>
    <t> Finland</t>
  </si>
  <si>
    <t> China, Hong Kong SAR</t>
  </si>
  <si>
    <t> Burundi</t>
  </si>
  <si>
    <t> Norway</t>
  </si>
  <si>
    <t> Serbia</t>
  </si>
  <si>
    <t> Benin</t>
  </si>
  <si>
    <t> Jordan</t>
  </si>
  <si>
    <t> South Sudan</t>
  </si>
  <si>
    <t> Azerbaijan</t>
  </si>
  <si>
    <t> Honduras</t>
  </si>
  <si>
    <t> Guinea</t>
  </si>
  <si>
    <t> Slovakia</t>
  </si>
  <si>
    <t> Senegal</t>
  </si>
  <si>
    <t> New Zealand</t>
  </si>
  <si>
    <t> Ireland</t>
  </si>
  <si>
    <t> Singapore</t>
  </si>
  <si>
    <t> Togo</t>
  </si>
  <si>
    <t> El Salvador</t>
  </si>
  <si>
    <t> Papua New Guinea</t>
  </si>
  <si>
    <t> Paraguay</t>
  </si>
  <si>
    <t> Kyrgyzstan</t>
  </si>
  <si>
    <t> Tajikistan</t>
  </si>
  <si>
    <t> Costa Rica</t>
  </si>
  <si>
    <t> Croatia</t>
  </si>
  <si>
    <t> Sierra Leone</t>
  </si>
  <si>
    <t> Nicaragua</t>
  </si>
  <si>
    <t>2005[2]</t>
  </si>
  <si>
    <t> Congo</t>
  </si>
  <si>
    <t> Uruguay</t>
  </si>
  <si>
    <t> Laos</t>
  </si>
  <si>
    <t> Lithuania</t>
  </si>
  <si>
    <t> Puerto Rico</t>
  </si>
  <si>
    <t> Panama</t>
  </si>
  <si>
    <t> Central African Republic</t>
  </si>
  <si>
    <t>1994[2]</t>
  </si>
  <si>
    <t> Georgia</t>
  </si>
  <si>
    <t> Liberia</t>
  </si>
  <si>
    <t> Moldova</t>
  </si>
  <si>
    <t> Jamaica</t>
  </si>
  <si>
    <t>..</t>
  </si>
  <si>
    <t> Albania</t>
  </si>
  <si>
    <t> Slovenia</t>
  </si>
  <si>
    <t> Armenia</t>
  </si>
  <si>
    <t> Mongolia</t>
  </si>
  <si>
    <t> Latvia</t>
  </si>
  <si>
    <t> Botswana</t>
  </si>
  <si>
    <t> Lesotho</t>
  </si>
  <si>
    <t> Namibia</t>
  </si>
  <si>
    <t> Estonia</t>
  </si>
  <si>
    <t> Oman</t>
  </si>
  <si>
    <t>2003[2]</t>
  </si>
  <si>
    <t> Gabon</t>
  </si>
  <si>
    <t> Trinidad and Tobago</t>
  </si>
  <si>
    <t> Mauritius</t>
  </si>
  <si>
    <t> Cyprus</t>
  </si>
  <si>
    <t> Gambia</t>
  </si>
  <si>
    <t> Luxembourg</t>
  </si>
  <si>
    <t> East Timor</t>
  </si>
  <si>
    <t> Swaziland</t>
  </si>
  <si>
    <t> China, Macao SAR</t>
  </si>
  <si>
    <t> Guyana</t>
  </si>
  <si>
    <t> Fiji</t>
  </si>
  <si>
    <t> Montenegro</t>
  </si>
  <si>
    <t> Malta</t>
  </si>
  <si>
    <t> Guadeloupe</t>
  </si>
  <si>
    <t> Suriname</t>
  </si>
  <si>
    <t> Comoros</t>
  </si>
  <si>
    <t> Bahamas</t>
  </si>
  <si>
    <t> Maldives</t>
  </si>
  <si>
    <t> Aruba</t>
  </si>
  <si>
    <t> Isle of Man</t>
  </si>
  <si>
    <t> Samoa</t>
  </si>
  <si>
    <t> Bermuda</t>
  </si>
  <si>
    <t> Liechtenstein</t>
  </si>
  <si>
    <t> Sweden</t>
  </si>
  <si>
    <t>?</t>
  </si>
  <si>
    <t>2020[3]</t>
  </si>
  <si>
    <t>New Subscribers</t>
  </si>
  <si>
    <t>Stock Price</t>
  </si>
  <si>
    <t>Total New Subs</t>
  </si>
  <si>
    <t>Total Subs</t>
  </si>
  <si>
    <t>Total Subscribers</t>
  </si>
  <si>
    <t>QoQ %</t>
  </si>
  <si>
    <t>New</t>
  </si>
  <si>
    <t>Total Subs Scaled</t>
  </si>
  <si>
    <t>New Subs Scaled</t>
  </si>
  <si>
    <t>Timeline</t>
  </si>
  <si>
    <t>Values</t>
  </si>
  <si>
    <t>Forecast</t>
  </si>
  <si>
    <t>Confidence Interval</t>
  </si>
  <si>
    <t>Lower Confidence Bound</t>
  </si>
  <si>
    <t>Upper Confidence Bound</t>
  </si>
  <si>
    <t>Diff Vs. Forecast</t>
  </si>
  <si>
    <t xml:space="preserve">  Regression Forecast</t>
  </si>
  <si>
    <t xml:space="preserve">  Depreciation Rate</t>
  </si>
  <si>
    <t>Terminal Value (GGM &amp; EV/EBITDA)</t>
  </si>
  <si>
    <t>Company</t>
  </si>
  <si>
    <t>P/S</t>
  </si>
  <si>
    <t>P/E</t>
  </si>
  <si>
    <t>EV/EBIT</t>
  </si>
  <si>
    <t> US</t>
  </si>
  <si>
    <t>Netflix Inc</t>
  </si>
  <si>
    <t>Walt Disney Co</t>
  </si>
  <si>
    <t>-</t>
  </si>
  <si>
    <t> LU</t>
  </si>
  <si>
    <t>Spotify Technology SA</t>
  </si>
  <si>
    <t>Amazon.com Inc</t>
  </si>
  <si>
    <t>Roku Inc</t>
  </si>
  <si>
    <t>AT&amp;T Inc</t>
  </si>
  <si>
    <t>95.7B USD</t>
  </si>
  <si>
    <t>211B USD</t>
  </si>
  <si>
    <t>21.2B USD</t>
  </si>
  <si>
    <t>1.5T USD</t>
  </si>
  <si>
    <t>13.8B USD</t>
  </si>
  <si>
    <t>139B USD</t>
  </si>
  <si>
    <t> CA</t>
  </si>
  <si>
    <t>BCE Inc</t>
  </si>
  <si>
    <t>65.8B CAD</t>
  </si>
  <si>
    <t>Crave TV</t>
  </si>
  <si>
    <t>Roku</t>
  </si>
  <si>
    <t>Spotify Podcasts</t>
  </si>
  <si>
    <t>US</t>
  </si>
  <si>
    <t>Apple</t>
  </si>
  <si>
    <t>Apple Tv</t>
  </si>
  <si>
    <t>2.6T USD</t>
  </si>
  <si>
    <t>Comcast Corp</t>
  </si>
  <si>
    <t>206B USD</t>
  </si>
  <si>
    <t>Peacock</t>
  </si>
  <si>
    <t>Streaming</t>
  </si>
  <si>
    <t>Projected 6Y CAGR</t>
  </si>
  <si>
    <t>Historical 6Y CAGR</t>
  </si>
  <si>
    <t xml:space="preserve">  Diversification: Ads, Sports, Gaming &amp; Podcasts</t>
  </si>
  <si>
    <t>SpongBob TrianglePants</t>
  </si>
  <si>
    <t xml:space="preserve">  DIVERSIFICATION (Ads, Sports, Gaming, Podcasts)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</si>
</sst>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1" formatCode="_-* #,##0_-;\-* #,##0_-;_-* &quot;-&quot;_-;_-@_-"/>
    <numFmt numFmtId="44" formatCode="_-&quot;$&quot;* #,##0.00_-;\-&quot;$&quot;* #,##0.00_-;_-&quot;$&quot;* &quot;-&quot;??_-;_-@_-"/>
    <numFmt numFmtId="43" formatCode="_-* #,##0.00_-;\-* #,##0.00_-;_-* &quot;-&quot;??_-;_-@_-"/>
    <numFmt numFmtId="166" formatCode="_-* #,##0_-;\(#,##0\)_-;_-* &quot;-&quot;_-;_-@_-"/>
    <numFmt numFmtId="167" formatCode="0.0\x"/>
    <numFmt numFmtId="168" formatCode="_-* #,##0_-;\-* #,##0_-;_-* &quot;-&quot;??_-;_-@_-"/>
    <numFmt numFmtId="169" formatCode="_(* #,##0_);_(* \(#,##0\);_(* &quot;-&quot;??_);_(@_)"/>
    <numFmt numFmtId="170" formatCode="_-* #,##0.00_-;\(#,##0.00\)_-;_-* &quot;-&quot;_-;_-@_-"/>
    <numFmt numFmtId="171" formatCode="0.0%"/>
    <numFmt numFmtId="172" formatCode="_-&quot;$&quot;* #,##0_-;\-&quot;$&quot;* #,##0_-;_-&quot;$&quot;* &quot;-&quot;??_-;_-@_-"/>
    <numFmt numFmtId="173" formatCode="#0.0"/>
    <numFmt numFmtId="174" formatCode="0.000"/>
    <numFmt numFmtId="175" formatCode="0.0"/>
    <numFmt numFmtId="176" formatCode="#,##0.0\ ;\(#,##0.0\)"/>
    <numFmt numFmtId="177" formatCode="&quot;$&quot;#,##0\ ;\(&quot;$&quot;#,##0.0\)"/>
    <numFmt numFmtId="178" formatCode="&quot;$&quot;* #,###\ ;&quot;$&quot;* \(#,###\);&quot;$&quot;* \-\ "/>
    <numFmt numFmtId="179" formatCode="_(&quot;$&quot;* #,##0.00_);_(&quot;$&quot;* \(#,##0.00\);_(&quot;$&quot;* &quot;-&quot;??_);_(@_)"/>
    <numFmt numFmtId="180" formatCode="_(&quot;$&quot;* #,##0_);_(&quot;$&quot;* \(#,##0\);_(&quot;$&quot;* &quot;-&quot;??_);_(@_)"/>
    <numFmt numFmtId="181" formatCode="#,##0\ ;\(#,##0.0\)"/>
    <numFmt numFmtId="182" formatCode="&quot;$&quot;* #,###.00\ ;&quot;$&quot;* \(#,###.00\);&quot;$&quot;* \-\ "/>
    <numFmt numFmtId="183" formatCode="_(* #,##0.00_);_(* \(#,##0.00\);_(* &quot;-&quot;??_);_(@_)"/>
    <numFmt numFmtId="184" formatCode="&quot;$&quot;#,##0"/>
    <numFmt numFmtId="185" formatCode="_([$€-2]* #,##0.00_);_([$€-2]* \(#,##0.00\);_([$€-2]* &quot;-&quot;??_)"/>
    <numFmt numFmtId="186" formatCode="0.0%;[Red]\(0.0%\)"/>
    <numFmt numFmtId="187" formatCode="&quot;$&quot;#,##0.00_);[Red]\(&quot;$&quot;#,##0.00\)"/>
    <numFmt numFmtId="188" formatCode="[$-F800]dddd\,\ mmmm\ dd\,\ yyyy"/>
    <numFmt numFmtId="189" formatCode="_-* #,##0.0_-;\-* #,##0.0_-;_-* &quot;-&quot;??_-;_-@_-"/>
    <numFmt numFmtId="190" formatCode="_-* #,##0.0_-;\(#,##0.0\)_-;_-* &quot;-&quot;_-;_-@_-"/>
    <numFmt numFmtId="191" formatCode="_-&quot;$&quot;* #,##0.0_-;\-&quot;$&quot;* #,##0.0_-;_-&quot;$&quot;* &quot;-&quot;??_-;_-@_-"/>
  </numFmts>
  <fonts count="7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0"/>
      <color theme="0"/>
      <name val="Arial"/>
      <family val="2"/>
    </font>
    <font>
      <sz val="11"/>
      <color rgb="FF0000FF"/>
      <name val="Arial"/>
      <family val="2"/>
    </font>
    <font>
      <sz val="14"/>
      <color theme="1"/>
      <name val="Calibri"/>
      <family val="2"/>
      <scheme val="minor"/>
    </font>
    <font>
      <sz val="11"/>
      <color indexed="8"/>
      <name val="Calibri"/>
      <family val="2"/>
      <scheme val="minor"/>
    </font>
    <font>
      <b/>
      <sz val="12"/>
      <color indexed="8"/>
      <name val="Arial"/>
      <family val="2"/>
    </font>
    <font>
      <sz val="10"/>
      <color indexed="8"/>
      <name val="Arial"/>
      <family val="2"/>
    </font>
    <font>
      <b/>
      <sz val="10"/>
      <color indexed="8"/>
      <name val="Arial"/>
      <family val="2"/>
    </font>
    <font>
      <sz val="10"/>
      <name val="Helv"/>
    </font>
    <font>
      <b/>
      <sz val="12"/>
      <name val="Calibri"/>
      <family val="2"/>
      <scheme val="minor"/>
    </font>
    <font>
      <b/>
      <sz val="11"/>
      <name val="Calibri"/>
      <family val="2"/>
      <scheme val="minor"/>
    </font>
    <font>
      <sz val="10"/>
      <name val="Arial"/>
      <family val="2"/>
    </font>
    <font>
      <sz val="10"/>
      <name val="Calibri"/>
      <family val="2"/>
      <scheme val="minor"/>
    </font>
    <font>
      <b/>
      <u/>
      <sz val="10"/>
      <name val="Calibri"/>
      <family val="2"/>
      <scheme val="minor"/>
    </font>
    <font>
      <b/>
      <sz val="10"/>
      <name val="Calibri"/>
      <family val="2"/>
      <scheme val="minor"/>
    </font>
    <font>
      <sz val="10"/>
      <name val="Calibri"/>
      <family val="2"/>
    </font>
    <font>
      <b/>
      <sz val="10"/>
      <name val="Calibri"/>
      <family val="2"/>
    </font>
    <font>
      <sz val="10"/>
      <color rgb="FF222222"/>
      <name val="Calibri"/>
      <family val="2"/>
      <scheme val="minor"/>
    </font>
    <font>
      <b/>
      <sz val="10"/>
      <color indexed="8"/>
      <name val="Calibri"/>
      <family val="2"/>
      <scheme val="minor"/>
    </font>
    <font>
      <sz val="10"/>
      <color indexed="8"/>
      <name val="Calibri"/>
      <family val="2"/>
      <scheme val="minor"/>
    </font>
    <font>
      <sz val="10"/>
      <color indexed="12"/>
      <name val="Calibri"/>
      <family val="2"/>
      <scheme val="minor"/>
    </font>
    <font>
      <b/>
      <i/>
      <sz val="10"/>
      <color indexed="8"/>
      <name val="Calibri"/>
      <family val="2"/>
      <scheme val="minor"/>
    </font>
    <font>
      <b/>
      <i/>
      <sz val="10"/>
      <name val="Calibri"/>
      <family val="2"/>
      <scheme val="minor"/>
    </font>
    <font>
      <sz val="10"/>
      <color indexed="17"/>
      <name val="Calibri"/>
      <family val="2"/>
      <scheme val="minor"/>
    </font>
    <font>
      <sz val="10"/>
      <name val="Tms Rmn"/>
    </font>
    <font>
      <b/>
      <sz val="10"/>
      <color rgb="FFFF0000"/>
      <name val="Calibri"/>
      <family val="2"/>
      <scheme val="minor"/>
    </font>
    <font>
      <b/>
      <sz val="20"/>
      <color rgb="FFFFC000"/>
      <name val="Cambria"/>
      <family val="1"/>
    </font>
    <font>
      <sz val="8"/>
      <name val="Calibri"/>
      <family val="2"/>
      <scheme val="minor"/>
    </font>
    <font>
      <sz val="11"/>
      <color theme="0"/>
      <name val="Cambria"/>
      <family val="1"/>
    </font>
    <font>
      <sz val="20"/>
      <color theme="0"/>
      <name val="Cambria"/>
      <family val="1"/>
    </font>
    <font>
      <sz val="11"/>
      <color theme="1"/>
      <name val="Cambria"/>
      <family val="1"/>
    </font>
    <font>
      <b/>
      <sz val="14"/>
      <color theme="0"/>
      <name val="Cambria"/>
      <family val="1"/>
    </font>
    <font>
      <i/>
      <sz val="12"/>
      <color theme="0"/>
      <name val="Cambria"/>
      <family val="1"/>
    </font>
    <font>
      <b/>
      <sz val="11"/>
      <color theme="0"/>
      <name val="Cambria"/>
      <family val="1"/>
    </font>
    <font>
      <b/>
      <sz val="11"/>
      <color theme="1"/>
      <name val="Cambria"/>
      <family val="1"/>
    </font>
    <font>
      <sz val="11"/>
      <color rgb="FF0000FF"/>
      <name val="Cambria"/>
      <family val="1"/>
    </font>
    <font>
      <b/>
      <sz val="11"/>
      <name val="Cambria"/>
      <family val="1"/>
    </font>
    <font>
      <sz val="11"/>
      <name val="Cambria"/>
      <family val="1"/>
    </font>
    <font>
      <i/>
      <sz val="11"/>
      <color theme="1"/>
      <name val="Cambria"/>
      <family val="1"/>
    </font>
    <font>
      <i/>
      <sz val="11"/>
      <name val="Cambria"/>
      <family val="1"/>
    </font>
    <font>
      <b/>
      <sz val="11"/>
      <color rgb="FF00B050"/>
      <name val="Cambria"/>
      <family val="1"/>
    </font>
    <font>
      <b/>
      <i/>
      <sz val="11"/>
      <color theme="1"/>
      <name val="Cambria"/>
      <family val="1"/>
    </font>
    <font>
      <sz val="11"/>
      <color rgb="FFFF0000"/>
      <name val="Cambria"/>
      <family val="1"/>
    </font>
    <font>
      <sz val="11"/>
      <color rgb="FF00B050"/>
      <name val="Cambria"/>
      <family val="1"/>
    </font>
    <font>
      <sz val="11"/>
      <color rgb="FF3F3F76"/>
      <name val="Cambria"/>
      <family val="1"/>
    </font>
    <font>
      <b/>
      <sz val="11"/>
      <color rgb="FF0000FF"/>
      <name val="Cambria"/>
      <family val="1"/>
    </font>
    <font>
      <i/>
      <sz val="11"/>
      <color rgb="FFFF0000"/>
      <name val="Cambria"/>
      <family val="1"/>
    </font>
    <font>
      <sz val="11"/>
      <color rgb="FF000000"/>
      <name val="Cambria"/>
      <family val="1"/>
    </font>
    <font>
      <b/>
      <sz val="11"/>
      <color rgb="FFFF0000"/>
      <name val="Cambria"/>
      <family val="1"/>
    </font>
    <font>
      <sz val="11"/>
      <color rgb="FF0070C0"/>
      <name val="Cambria"/>
      <family val="1"/>
    </font>
    <font>
      <b/>
      <sz val="11"/>
      <color rgb="FF57595D"/>
      <name val="Cambria"/>
      <family val="1"/>
    </font>
    <font>
      <b/>
      <sz val="11"/>
      <color theme="7"/>
      <name val="Cambria"/>
      <family val="1"/>
    </font>
    <font>
      <b/>
      <sz val="16"/>
      <color theme="0"/>
      <name val="Cambria"/>
      <family val="1"/>
    </font>
    <font>
      <i/>
      <sz val="11"/>
      <color rgb="FF00B050"/>
      <name val="Cambria"/>
      <family val="1"/>
    </font>
    <font>
      <b/>
      <i/>
      <sz val="11"/>
      <color indexed="8"/>
      <name val="Cambria"/>
      <family val="1"/>
    </font>
    <font>
      <b/>
      <i/>
      <sz val="11"/>
      <color rgb="FFFF0000"/>
      <name val="Cambria"/>
      <family val="1"/>
    </font>
    <font>
      <sz val="14"/>
      <color theme="1"/>
      <name val="Cambria"/>
      <family val="1"/>
    </font>
    <font>
      <b/>
      <sz val="11"/>
      <color rgb="FF202122"/>
      <name val="Calibri"/>
      <family val="2"/>
      <scheme val="minor"/>
    </font>
    <font>
      <sz val="11"/>
      <color rgb="FF202122"/>
      <name val="Calibri"/>
      <family val="2"/>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5" tint="0.79998168889431442"/>
        <bgColor indexed="64"/>
      </patternFill>
    </fill>
    <fill>
      <patternFill patternType="solid">
        <fgColor theme="0"/>
        <bgColor indexed="64"/>
      </patternFill>
    </fill>
    <fill>
      <patternFill patternType="solid">
        <fgColor rgb="FF0070C0"/>
        <bgColor indexed="64"/>
      </patternFill>
    </fill>
    <fill>
      <patternFill patternType="solid">
        <fgColor theme="3"/>
        <bgColor indexed="64"/>
      </patternFill>
    </fill>
    <fill>
      <patternFill patternType="solid">
        <fgColor theme="0" tint="-0.499984740745262"/>
        <bgColor indexed="64"/>
      </patternFill>
    </fill>
    <fill>
      <patternFill patternType="solid">
        <fgColor theme="4" tint="0.39997558519241921"/>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indexed="9"/>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8F9FA"/>
        <bgColor indexed="64"/>
      </patternFill>
    </fill>
    <fill>
      <patternFill patternType="solid">
        <fgColor rgb="FFEAECF0"/>
        <bgColor indexed="64"/>
      </patternFill>
    </fill>
    <fill>
      <patternFill patternType="solid">
        <fgColor theme="8" tint="0.59999389629810485"/>
        <bgColor indexed="64"/>
      </patternFill>
    </fill>
    <fill>
      <patternFill patternType="solid">
        <fgColor theme="0" tint="-0.34998626667073579"/>
        <bgColor theme="0" tint="-0.34998626667073579"/>
      </patternFill>
    </fill>
    <fill>
      <patternFill patternType="solid">
        <fgColor theme="0" tint="-0.14999847407452621"/>
        <bgColor theme="0" tint="-0.14999847407452621"/>
      </patternFill>
    </fill>
    <fill>
      <patternFill patternType="solid">
        <fgColor theme="3"/>
        <bgColor theme="0" tint="-0.34998626667073579"/>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bottom style="thick">
        <color auto="1"/>
      </bottom>
      <diagonal/>
    </border>
    <border>
      <left/>
      <right/>
      <top style="thin">
        <color auto="1"/>
      </top>
      <bottom style="medium">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Dashed">
        <color indexed="64"/>
      </bottom>
      <diagonal/>
    </border>
    <border>
      <left style="medium">
        <color indexed="64"/>
      </left>
      <right style="medium">
        <color indexed="64"/>
      </right>
      <top style="mediumDashed">
        <color indexed="64"/>
      </top>
      <bottom style="medium">
        <color indexed="64"/>
      </bottom>
      <diagonal/>
    </border>
    <border>
      <left style="medium">
        <color indexed="64"/>
      </left>
      <right style="medium">
        <color indexed="64"/>
      </right>
      <top/>
      <bottom style="medium">
        <color indexed="64"/>
      </bottom>
      <diagonal/>
    </border>
    <border>
      <left/>
      <right/>
      <top/>
      <bottom style="double">
        <color indexed="64"/>
      </bottom>
      <diagonal/>
    </border>
    <border>
      <left/>
      <right/>
      <top/>
      <bottom style="double">
        <color theme="4"/>
      </bottom>
      <diagonal/>
    </border>
    <border>
      <left/>
      <right style="medium">
        <color indexed="64"/>
      </right>
      <top/>
      <bottom/>
      <diagonal/>
    </border>
    <border>
      <left style="medium">
        <color indexed="64"/>
      </left>
      <right/>
      <top/>
      <bottom/>
      <diagonal/>
    </border>
    <border>
      <left style="medium">
        <color rgb="FFA2A9B1"/>
      </left>
      <right style="medium">
        <color rgb="FFA2A9B1"/>
      </right>
      <top style="medium">
        <color rgb="FFA2A9B1"/>
      </top>
      <bottom style="medium">
        <color rgb="FFA2A9B1"/>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bottom style="thin">
        <color theme="0"/>
      </bottom>
      <diagonal/>
    </border>
    <border>
      <left/>
      <right/>
      <top style="thin">
        <color theme="0"/>
      </top>
      <bottom style="thin">
        <color theme="0"/>
      </bottom>
      <diagonal/>
    </border>
  </borders>
  <cellStyleXfs count="5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Fon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0" fontId="22" fillId="0" borderId="0"/>
    <xf numFmtId="0" fontId="26" fillId="0" borderId="0"/>
    <xf numFmtId="0" fontId="29" fillId="0" borderId="0"/>
    <xf numFmtId="179" fontId="29" fillId="0" borderId="0" applyFont="0" applyFill="0" applyBorder="0" applyAlignment="0" applyProtection="0"/>
    <xf numFmtId="183" fontId="29" fillId="0" borderId="0" applyFont="0" applyFill="0" applyBorder="0" applyAlignment="0" applyProtection="0"/>
    <xf numFmtId="0" fontId="26" fillId="0" borderId="0"/>
    <xf numFmtId="9" fontId="29" fillId="0" borderId="0" applyFont="0" applyFill="0" applyBorder="0" applyAlignment="0" applyProtection="0"/>
    <xf numFmtId="9" fontId="1" fillId="0" borderId="0" applyFont="0" applyFill="0" applyBorder="0" applyAlignment="0" applyProtection="0"/>
    <xf numFmtId="37" fontId="42" fillId="0" borderId="0"/>
  </cellStyleXfs>
  <cellXfs count="442">
    <xf numFmtId="0" fontId="0" fillId="0" borderId="0" xfId="0"/>
    <xf numFmtId="14" fontId="0" fillId="0" borderId="0" xfId="0" applyNumberFormat="1"/>
    <xf numFmtId="44" fontId="0" fillId="0" borderId="0" xfId="0" pivotButton="1" applyNumberFormat="1"/>
    <xf numFmtId="44" fontId="0" fillId="0" borderId="0" xfId="0" applyNumberFormat="1"/>
    <xf numFmtId="44" fontId="0" fillId="0" borderId="0" xfId="0" applyNumberFormat="1" applyAlignment="1">
      <alignment horizontal="left"/>
    </xf>
    <xf numFmtId="9" fontId="0" fillId="0" borderId="0" xfId="2" applyFont="1"/>
    <xf numFmtId="9" fontId="13" fillId="33" borderId="0" xfId="2" applyFont="1" applyFill="1"/>
    <xf numFmtId="9" fontId="0" fillId="0" borderId="0" xfId="0" applyNumberFormat="1"/>
    <xf numFmtId="0" fontId="18" fillId="0" borderId="0" xfId="0" applyFont="1"/>
    <xf numFmtId="166" fontId="18" fillId="0" borderId="0" xfId="1" applyNumberFormat="1" applyFont="1"/>
    <xf numFmtId="171" fontId="20" fillId="0" borderId="0" xfId="2" applyNumberFormat="1" applyFont="1" applyAlignment="1">
      <alignment horizontal="right"/>
    </xf>
    <xf numFmtId="167" fontId="20" fillId="0" borderId="0" xfId="1" applyNumberFormat="1" applyFont="1" applyAlignment="1">
      <alignment horizontal="right"/>
    </xf>
    <xf numFmtId="171" fontId="18" fillId="0" borderId="0" xfId="2" applyNumberFormat="1" applyFont="1"/>
    <xf numFmtId="166" fontId="18" fillId="0" borderId="11" xfId="1" applyNumberFormat="1" applyFont="1" applyBorder="1"/>
    <xf numFmtId="1" fontId="18" fillId="0" borderId="0" xfId="1" applyNumberFormat="1" applyFont="1"/>
    <xf numFmtId="167" fontId="18" fillId="0" borderId="0" xfId="0" applyNumberFormat="1" applyFont="1"/>
    <xf numFmtId="167" fontId="18" fillId="0" borderId="10" xfId="1" applyNumberFormat="1" applyFont="1" applyBorder="1" applyAlignment="1">
      <alignment horizontal="right"/>
    </xf>
    <xf numFmtId="171" fontId="18" fillId="0" borderId="10" xfId="2" applyNumberFormat="1" applyFont="1" applyBorder="1" applyAlignment="1">
      <alignment horizontal="right"/>
    </xf>
    <xf numFmtId="0" fontId="18" fillId="0" borderId="10" xfId="0" applyFont="1" applyBorder="1" applyAlignment="1">
      <alignment horizontal="right"/>
    </xf>
    <xf numFmtId="0" fontId="18" fillId="0" borderId="0" xfId="0" applyFont="1" applyAlignment="1">
      <alignment horizontal="right"/>
    </xf>
    <xf numFmtId="0" fontId="0" fillId="0" borderId="0" xfId="0" applyFont="1" applyBorder="1" applyAlignment="1">
      <alignment horizontal="center"/>
    </xf>
    <xf numFmtId="168" fontId="0" fillId="0" borderId="0" xfId="1" applyNumberFormat="1" applyFont="1"/>
    <xf numFmtId="0" fontId="0" fillId="0" borderId="0" xfId="0" applyNumberFormat="1"/>
    <xf numFmtId="2" fontId="18" fillId="0" borderId="0" xfId="1" applyNumberFormat="1" applyFont="1"/>
    <xf numFmtId="2" fontId="0" fillId="0" borderId="0" xfId="0" applyNumberFormat="1"/>
    <xf numFmtId="2" fontId="18" fillId="0" borderId="0" xfId="0" applyNumberFormat="1" applyFont="1"/>
    <xf numFmtId="2" fontId="18" fillId="0" borderId="10" xfId="0" applyNumberFormat="1" applyFont="1" applyBorder="1" applyAlignment="1">
      <alignment horizontal="right"/>
    </xf>
    <xf numFmtId="2" fontId="18" fillId="0" borderId="0" xfId="0" applyNumberFormat="1" applyFont="1" applyAlignment="1">
      <alignment horizontal="right"/>
    </xf>
    <xf numFmtId="1" fontId="18" fillId="0" borderId="0" xfId="0" applyNumberFormat="1" applyFont="1"/>
    <xf numFmtId="2" fontId="0" fillId="0" borderId="0" xfId="44" applyNumberFormat="1" applyFont="1"/>
    <xf numFmtId="0" fontId="22" fillId="0" borderId="0" xfId="45"/>
    <xf numFmtId="0" fontId="25" fillId="0" borderId="13" xfId="45" applyFont="1" applyFill="1" applyBorder="1" applyAlignment="1">
      <alignment horizontal="center" wrapText="1"/>
    </xf>
    <xf numFmtId="0" fontId="25" fillId="0" borderId="0" xfId="45" applyFont="1" applyFill="1" applyAlignment="1">
      <alignment horizontal="left"/>
    </xf>
    <xf numFmtId="173" fontId="24" fillId="0" borderId="0" xfId="45" applyNumberFormat="1" applyFont="1" applyFill="1" applyAlignment="1">
      <alignment horizontal="right"/>
    </xf>
    <xf numFmtId="0" fontId="25" fillId="0" borderId="0" xfId="45" applyFont="1" applyFill="1" applyAlignment="1">
      <alignment horizontal="left" vertical="top" wrapText="1"/>
    </xf>
    <xf numFmtId="0" fontId="0" fillId="0" borderId="0" xfId="0" pivotButton="1"/>
    <xf numFmtId="0" fontId="0" fillId="0" borderId="0" xfId="0" applyAlignment="1">
      <alignment horizontal="left"/>
    </xf>
    <xf numFmtId="174" fontId="0" fillId="0" borderId="0" xfId="0" applyNumberFormat="1"/>
    <xf numFmtId="175" fontId="0" fillId="0" borderId="0" xfId="0" applyNumberFormat="1"/>
    <xf numFmtId="0" fontId="19" fillId="0" borderId="12" xfId="45" applyFont="1" applyFill="1" applyBorder="1" applyAlignment="1">
      <alignment horizontal="center"/>
    </xf>
    <xf numFmtId="0" fontId="25" fillId="0" borderId="12" xfId="45" applyFont="1" applyFill="1" applyBorder="1" applyAlignment="1">
      <alignment horizontal="center" wrapText="1"/>
    </xf>
    <xf numFmtId="2" fontId="0" fillId="0" borderId="0" xfId="0" applyNumberFormat="1" applyFont="1" applyFill="1"/>
    <xf numFmtId="0" fontId="16" fillId="0" borderId="9" xfId="19"/>
    <xf numFmtId="175" fontId="16" fillId="0" borderId="9" xfId="19" applyNumberFormat="1"/>
    <xf numFmtId="2" fontId="16" fillId="0" borderId="9" xfId="19" applyNumberFormat="1"/>
    <xf numFmtId="0" fontId="27" fillId="0" borderId="0" xfId="46" applyFont="1"/>
    <xf numFmtId="0" fontId="28" fillId="0" borderId="0" xfId="46" applyFont="1"/>
    <xf numFmtId="0" fontId="30" fillId="0" borderId="0" xfId="47" applyFont="1"/>
    <xf numFmtId="0" fontId="30" fillId="0" borderId="0" xfId="46" applyFont="1"/>
    <xf numFmtId="176" fontId="31" fillId="0" borderId="0" xfId="46" applyNumberFormat="1" applyFont="1" applyAlignment="1">
      <alignment horizontal="center"/>
    </xf>
    <xf numFmtId="176" fontId="31" fillId="41" borderId="0" xfId="46" applyNumberFormat="1" applyFont="1" applyFill="1" applyAlignment="1">
      <alignment horizontal="center"/>
    </xf>
    <xf numFmtId="176" fontId="31" fillId="0" borderId="0" xfId="46" applyNumberFormat="1" applyFont="1" applyAlignment="1">
      <alignment horizontal="center" wrapText="1"/>
    </xf>
    <xf numFmtId="176" fontId="32" fillId="0" borderId="0" xfId="46" applyNumberFormat="1" applyFont="1" applyAlignment="1">
      <alignment horizontal="center"/>
    </xf>
    <xf numFmtId="176" fontId="32" fillId="41" borderId="0" xfId="46" applyNumberFormat="1" applyFont="1" applyFill="1" applyAlignment="1">
      <alignment horizontal="center"/>
    </xf>
    <xf numFmtId="0" fontId="31" fillId="0" borderId="0" xfId="46" applyFont="1" applyAlignment="1">
      <alignment horizontal="center"/>
    </xf>
    <xf numFmtId="0" fontId="31" fillId="41" borderId="0" xfId="46" applyFont="1" applyFill="1" applyAlignment="1">
      <alignment horizontal="center"/>
    </xf>
    <xf numFmtId="177" fontId="30" fillId="0" borderId="0" xfId="47" applyNumberFormat="1" applyFont="1"/>
    <xf numFmtId="0" fontId="32" fillId="41" borderId="0" xfId="47" applyFont="1" applyFill="1"/>
    <xf numFmtId="178" fontId="30" fillId="0" borderId="0" xfId="47" applyNumberFormat="1" applyFont="1"/>
    <xf numFmtId="180" fontId="33" fillId="0" borderId="0" xfId="48" applyNumberFormat="1" applyFont="1" applyBorder="1" applyAlignment="1">
      <alignment horizontal="right"/>
    </xf>
    <xf numFmtId="180" fontId="34" fillId="41" borderId="0" xfId="48" applyNumberFormat="1" applyFont="1" applyFill="1" applyBorder="1" applyAlignment="1">
      <alignment horizontal="right"/>
    </xf>
    <xf numFmtId="3" fontId="33" fillId="0" borderId="0" xfId="47" applyNumberFormat="1" applyFont="1" applyAlignment="1">
      <alignment horizontal="right" wrapText="1"/>
    </xf>
    <xf numFmtId="169" fontId="34" fillId="41" borderId="0" xfId="47" applyNumberFormat="1" applyFont="1" applyFill="1"/>
    <xf numFmtId="169" fontId="30" fillId="0" borderId="0" xfId="47" applyNumberFormat="1" applyFont="1"/>
    <xf numFmtId="3" fontId="33" fillId="0" borderId="11" xfId="47" applyNumberFormat="1" applyFont="1" applyBorder="1" applyAlignment="1">
      <alignment horizontal="right" wrapText="1"/>
    </xf>
    <xf numFmtId="169" fontId="30" fillId="0" borderId="10" xfId="47" applyNumberFormat="1" applyFont="1" applyBorder="1"/>
    <xf numFmtId="169" fontId="32" fillId="41" borderId="10" xfId="47" applyNumberFormat="1" applyFont="1" applyFill="1" applyBorder="1"/>
    <xf numFmtId="169" fontId="32" fillId="41" borderId="0" xfId="47" applyNumberFormat="1" applyFont="1" applyFill="1"/>
    <xf numFmtId="169" fontId="30" fillId="0" borderId="11" xfId="47" applyNumberFormat="1" applyFont="1" applyBorder="1"/>
    <xf numFmtId="180" fontId="30" fillId="0" borderId="14" xfId="48" applyNumberFormat="1" applyFont="1" applyFill="1" applyBorder="1"/>
    <xf numFmtId="180" fontId="32" fillId="41" borderId="14" xfId="48" applyNumberFormat="1" applyFont="1" applyFill="1" applyBorder="1"/>
    <xf numFmtId="181" fontId="30" fillId="0" borderId="0" xfId="47" applyNumberFormat="1" applyFont="1"/>
    <xf numFmtId="181" fontId="32" fillId="41" borderId="0" xfId="47" applyNumberFormat="1" applyFont="1" applyFill="1"/>
    <xf numFmtId="182" fontId="30" fillId="0" borderId="0" xfId="47" applyNumberFormat="1" applyFont="1"/>
    <xf numFmtId="179" fontId="30" fillId="0" borderId="0" xfId="48" applyFont="1" applyFill="1" applyBorder="1"/>
    <xf numFmtId="179" fontId="32" fillId="41" borderId="0" xfId="48" applyFont="1" applyFill="1" applyBorder="1"/>
    <xf numFmtId="3" fontId="30" fillId="0" borderId="0" xfId="47" applyNumberFormat="1" applyFont="1"/>
    <xf numFmtId="169" fontId="32" fillId="41" borderId="0" xfId="49" applyNumberFormat="1" applyFont="1" applyFill="1"/>
    <xf numFmtId="0" fontId="30" fillId="0" borderId="0" xfId="46" applyFont="1" applyAlignment="1">
      <alignment horizontal="right"/>
    </xf>
    <xf numFmtId="0" fontId="35" fillId="0" borderId="0" xfId="47" applyFont="1"/>
    <xf numFmtId="0" fontId="32" fillId="0" borderId="0" xfId="46" applyFont="1"/>
    <xf numFmtId="184" fontId="30" fillId="0" borderId="0" xfId="47" applyNumberFormat="1" applyFont="1"/>
    <xf numFmtId="0" fontId="32" fillId="41" borderId="0" xfId="46" applyFont="1" applyFill="1" applyAlignment="1">
      <alignment horizontal="center"/>
    </xf>
    <xf numFmtId="0" fontId="32" fillId="0" borderId="0" xfId="50" applyFont="1"/>
    <xf numFmtId="0" fontId="30" fillId="0" borderId="0" xfId="50" applyFont="1"/>
    <xf numFmtId="180" fontId="33" fillId="0" borderId="0" xfId="48" applyNumberFormat="1" applyFont="1"/>
    <xf numFmtId="180" fontId="36" fillId="41" borderId="0" xfId="48" applyNumberFormat="1" applyFont="1" applyFill="1" applyBorder="1" applyProtection="1"/>
    <xf numFmtId="169" fontId="33" fillId="0" borderId="11" xfId="49" applyNumberFormat="1" applyFont="1" applyBorder="1"/>
    <xf numFmtId="169" fontId="36" fillId="41" borderId="11" xfId="49" applyNumberFormat="1" applyFont="1" applyFill="1" applyBorder="1"/>
    <xf numFmtId="169" fontId="37" fillId="0" borderId="0" xfId="49" applyNumberFormat="1" applyFont="1" applyFill="1" applyBorder="1"/>
    <xf numFmtId="169" fontId="36" fillId="41" borderId="0" xfId="49" applyNumberFormat="1" applyFont="1" applyFill="1" applyBorder="1"/>
    <xf numFmtId="0" fontId="30" fillId="42" borderId="0" xfId="50" applyFont="1" applyFill="1"/>
    <xf numFmtId="169" fontId="33" fillId="0" borderId="0" xfId="49" applyNumberFormat="1" applyFont="1"/>
    <xf numFmtId="180" fontId="36" fillId="0" borderId="14" xfId="48" applyNumberFormat="1" applyFont="1" applyFill="1" applyBorder="1"/>
    <xf numFmtId="180" fontId="36" fillId="41" borderId="14" xfId="48" applyNumberFormat="1" applyFont="1" applyFill="1" applyBorder="1"/>
    <xf numFmtId="0" fontId="32" fillId="0" borderId="0" xfId="47" applyFont="1"/>
    <xf numFmtId="178" fontId="37" fillId="0" borderId="0" xfId="49" applyNumberFormat="1" applyFont="1" applyFill="1" applyBorder="1"/>
    <xf numFmtId="178" fontId="37" fillId="41" borderId="0" xfId="49" applyNumberFormat="1" applyFont="1" applyFill="1" applyBorder="1"/>
    <xf numFmtId="180" fontId="37" fillId="0" borderId="0" xfId="48" applyNumberFormat="1" applyFont="1" applyFill="1" applyBorder="1"/>
    <xf numFmtId="169" fontId="33" fillId="0" borderId="0" xfId="49" applyNumberFormat="1" applyFont="1" applyBorder="1"/>
    <xf numFmtId="169" fontId="37" fillId="0" borderId="11" xfId="49" applyNumberFormat="1" applyFont="1" applyFill="1" applyBorder="1"/>
    <xf numFmtId="0" fontId="30" fillId="0" borderId="0" xfId="50" applyFont="1" applyAlignment="1">
      <alignment horizontal="left" wrapText="1"/>
    </xf>
    <xf numFmtId="169" fontId="32" fillId="0" borderId="0" xfId="47" applyNumberFormat="1" applyFont="1"/>
    <xf numFmtId="0" fontId="30" fillId="0" borderId="0" xfId="50" quotePrefix="1" applyFont="1"/>
    <xf numFmtId="185" fontId="30" fillId="0" borderId="0" xfId="47" applyNumberFormat="1" applyFont="1"/>
    <xf numFmtId="169" fontId="30" fillId="0" borderId="0" xfId="49" applyNumberFormat="1" applyFont="1" applyFill="1" applyBorder="1"/>
    <xf numFmtId="176" fontId="31" fillId="41" borderId="0" xfId="46" applyNumberFormat="1" applyFont="1" applyFill="1" applyAlignment="1">
      <alignment horizontal="center" wrapText="1"/>
    </xf>
    <xf numFmtId="0" fontId="31" fillId="0" borderId="0" xfId="47" applyFont="1" applyAlignment="1">
      <alignment horizontal="center"/>
    </xf>
    <xf numFmtId="169" fontId="38" fillId="0" borderId="0" xfId="49" applyNumberFormat="1" applyFont="1" applyFill="1" applyBorder="1"/>
    <xf numFmtId="1" fontId="31" fillId="41" borderId="0" xfId="46" applyNumberFormat="1" applyFont="1" applyFill="1" applyAlignment="1">
      <alignment horizontal="center"/>
    </xf>
    <xf numFmtId="169" fontId="32" fillId="0" borderId="0" xfId="49" applyNumberFormat="1" applyFont="1" applyFill="1" applyBorder="1"/>
    <xf numFmtId="178" fontId="30" fillId="0" borderId="0" xfId="49" applyNumberFormat="1" applyFont="1" applyFill="1" applyBorder="1"/>
    <xf numFmtId="180" fontId="32" fillId="41" borderId="0" xfId="48" applyNumberFormat="1" applyFont="1" applyFill="1" applyBorder="1"/>
    <xf numFmtId="169" fontId="30" fillId="0" borderId="0" xfId="49" applyNumberFormat="1" applyFont="1" applyFill="1"/>
    <xf numFmtId="169" fontId="32" fillId="41" borderId="0" xfId="49" applyNumberFormat="1" applyFont="1" applyFill="1" applyBorder="1"/>
    <xf numFmtId="169" fontId="30" fillId="0" borderId="11" xfId="49" applyNumberFormat="1" applyFont="1" applyFill="1" applyBorder="1"/>
    <xf numFmtId="169" fontId="30" fillId="0" borderId="15" xfId="49" applyNumberFormat="1" applyFont="1" applyFill="1" applyBorder="1"/>
    <xf numFmtId="169" fontId="32" fillId="41" borderId="15" xfId="49" applyNumberFormat="1" applyFont="1" applyFill="1" applyBorder="1"/>
    <xf numFmtId="169" fontId="36" fillId="0" borderId="0" xfId="49" applyNumberFormat="1" applyFont="1" applyFill="1" applyBorder="1"/>
    <xf numFmtId="178" fontId="30" fillId="0" borderId="0" xfId="50" applyNumberFormat="1" applyFont="1"/>
    <xf numFmtId="178" fontId="30" fillId="0" borderId="14" xfId="49" applyNumberFormat="1" applyFont="1" applyFill="1" applyBorder="1"/>
    <xf numFmtId="178" fontId="32" fillId="41" borderId="14" xfId="49" applyNumberFormat="1" applyFont="1" applyFill="1" applyBorder="1"/>
    <xf numFmtId="186" fontId="39" fillId="0" borderId="0" xfId="51" applyNumberFormat="1" applyFont="1" applyFill="1" applyBorder="1"/>
    <xf numFmtId="186" fontId="32" fillId="0" borderId="0" xfId="46" applyNumberFormat="1" applyFont="1"/>
    <xf numFmtId="0" fontId="32" fillId="41" borderId="0" xfId="50" applyFont="1" applyFill="1"/>
    <xf numFmtId="186" fontId="40" fillId="0" borderId="0" xfId="46" applyNumberFormat="1" applyFont="1"/>
    <xf numFmtId="169" fontId="41" fillId="0" borderId="0" xfId="49" applyNumberFormat="1" applyFont="1" applyFill="1" applyBorder="1"/>
    <xf numFmtId="178" fontId="30" fillId="0" borderId="14" xfId="50" applyNumberFormat="1" applyFont="1" applyBorder="1"/>
    <xf numFmtId="178" fontId="32" fillId="41" borderId="14" xfId="50" applyNumberFormat="1" applyFont="1" applyFill="1" applyBorder="1"/>
    <xf numFmtId="0" fontId="31" fillId="0" borderId="0" xfId="46" applyFont="1"/>
    <xf numFmtId="0" fontId="31" fillId="41" borderId="0" xfId="46" applyFont="1" applyFill="1" applyAlignment="1">
      <alignment horizontal="center" wrapText="1"/>
    </xf>
    <xf numFmtId="0" fontId="31" fillId="0" borderId="0" xfId="47" applyFont="1" applyAlignment="1">
      <alignment horizontal="center" wrapText="1"/>
    </xf>
    <xf numFmtId="0" fontId="31" fillId="0" borderId="0" xfId="47" applyFont="1" applyAlignment="1">
      <alignment wrapText="1"/>
    </xf>
    <xf numFmtId="0" fontId="31" fillId="0" borderId="0" xfId="46" applyFont="1" applyAlignment="1">
      <alignment horizontal="center" wrapText="1"/>
    </xf>
    <xf numFmtId="0" fontId="32" fillId="0" borderId="0" xfId="46" applyFont="1" applyAlignment="1">
      <alignment horizontal="center"/>
    </xf>
    <xf numFmtId="185" fontId="32" fillId="0" borderId="0" xfId="47" applyNumberFormat="1" applyFont="1"/>
    <xf numFmtId="185" fontId="40" fillId="0" borderId="0" xfId="46" applyNumberFormat="1" applyFont="1"/>
    <xf numFmtId="185" fontId="32" fillId="41" borderId="0" xfId="47" applyNumberFormat="1" applyFont="1" applyFill="1"/>
    <xf numFmtId="180" fontId="30" fillId="0" borderId="0" xfId="47" applyNumberFormat="1" applyFont="1"/>
    <xf numFmtId="2" fontId="30" fillId="0" borderId="0" xfId="47" applyNumberFormat="1" applyFont="1"/>
    <xf numFmtId="180" fontId="30" fillId="0" borderId="0" xfId="49" applyNumberFormat="1" applyFont="1" applyFill="1" applyBorder="1"/>
    <xf numFmtId="180" fontId="32" fillId="41" borderId="0" xfId="49" applyNumberFormat="1" applyFont="1" applyFill="1" applyBorder="1"/>
    <xf numFmtId="180" fontId="32" fillId="0" borderId="0" xfId="49" applyNumberFormat="1" applyFont="1" applyFill="1" applyBorder="1"/>
    <xf numFmtId="0" fontId="30" fillId="0" borderId="0" xfId="47" applyFont="1" applyAlignment="1">
      <alignment horizontal="left"/>
    </xf>
    <xf numFmtId="187" fontId="30" fillId="0" borderId="0" xfId="49" applyNumberFormat="1" applyFont="1" applyFill="1" applyBorder="1"/>
    <xf numFmtId="187" fontId="32" fillId="41" borderId="0" xfId="49" applyNumberFormat="1" applyFont="1" applyFill="1" applyBorder="1"/>
    <xf numFmtId="187" fontId="32" fillId="0" borderId="0" xfId="49" applyNumberFormat="1" applyFont="1" applyFill="1" applyBorder="1"/>
    <xf numFmtId="9" fontId="30" fillId="0" borderId="0" xfId="52" applyFont="1" applyFill="1" applyBorder="1"/>
    <xf numFmtId="9" fontId="32" fillId="41" borderId="0" xfId="52" applyFont="1" applyFill="1" applyBorder="1"/>
    <xf numFmtId="9" fontId="32" fillId="0" borderId="0" xfId="52" applyFont="1" applyFill="1" applyBorder="1"/>
    <xf numFmtId="185" fontId="30" fillId="0" borderId="0" xfId="46" applyNumberFormat="1" applyFont="1"/>
    <xf numFmtId="37" fontId="30" fillId="0" borderId="0" xfId="53" applyFont="1"/>
    <xf numFmtId="176" fontId="32" fillId="41" borderId="0" xfId="47" applyNumberFormat="1" applyFont="1" applyFill="1"/>
    <xf numFmtId="176" fontId="32" fillId="0" borderId="0" xfId="47" applyNumberFormat="1" applyFont="1"/>
    <xf numFmtId="169" fontId="32" fillId="0" borderId="0" xfId="49" applyNumberFormat="1" applyFont="1" applyFill="1"/>
    <xf numFmtId="185" fontId="30" fillId="0" borderId="0" xfId="47" applyNumberFormat="1" applyFont="1" applyAlignment="1">
      <alignment horizontal="left"/>
    </xf>
    <xf numFmtId="185" fontId="30" fillId="0" borderId="0" xfId="47" applyNumberFormat="1" applyFont="1" applyAlignment="1">
      <alignment wrapText="1"/>
    </xf>
    <xf numFmtId="180" fontId="32" fillId="0" borderId="0" xfId="48" applyNumberFormat="1" applyFont="1" applyFill="1" applyBorder="1"/>
    <xf numFmtId="185" fontId="32" fillId="0" borderId="0" xfId="47" applyNumberFormat="1" applyFont="1" applyAlignment="1">
      <alignment horizontal="left"/>
    </xf>
    <xf numFmtId="171" fontId="30" fillId="0" borderId="0" xfId="2" applyNumberFormat="1" applyFont="1" applyFill="1" applyBorder="1"/>
    <xf numFmtId="171" fontId="43" fillId="41" borderId="0" xfId="2" applyNumberFormat="1" applyFont="1" applyFill="1" applyBorder="1"/>
    <xf numFmtId="10" fontId="34" fillId="41" borderId="0" xfId="2" applyNumberFormat="1" applyFont="1" applyFill="1"/>
    <xf numFmtId="168" fontId="18" fillId="0" borderId="0" xfId="1" applyNumberFormat="1" applyFont="1" applyBorder="1" applyAlignment="1">
      <alignment vertical="center"/>
    </xf>
    <xf numFmtId="0" fontId="21" fillId="0" borderId="0" xfId="0" applyFont="1" applyBorder="1" applyAlignment="1"/>
    <xf numFmtId="171" fontId="33" fillId="0" borderId="0" xfId="2" applyNumberFormat="1" applyFont="1" applyAlignment="1">
      <alignment horizontal="right" wrapText="1"/>
    </xf>
    <xf numFmtId="9" fontId="30" fillId="0" borderId="0" xfId="2" applyFont="1"/>
    <xf numFmtId="166" fontId="46" fillId="37" borderId="0" xfId="1" applyNumberFormat="1" applyFont="1" applyFill="1" applyAlignment="1">
      <alignment vertical="center"/>
    </xf>
    <xf numFmtId="166" fontId="48" fillId="37" borderId="0" xfId="1" applyNumberFormat="1" applyFont="1" applyFill="1" applyAlignment="1">
      <alignment vertical="center"/>
    </xf>
    <xf numFmtId="166" fontId="48" fillId="0" borderId="0" xfId="1" applyNumberFormat="1" applyFont="1" applyAlignment="1">
      <alignment vertical="center"/>
    </xf>
    <xf numFmtId="166" fontId="48" fillId="37" borderId="12" xfId="1" applyNumberFormat="1" applyFont="1" applyFill="1" applyBorder="1" applyAlignment="1">
      <alignment vertical="center"/>
    </xf>
    <xf numFmtId="0" fontId="51" fillId="37" borderId="12" xfId="0" applyFont="1" applyFill="1" applyBorder="1" applyAlignment="1">
      <alignment vertical="center"/>
    </xf>
    <xf numFmtId="166" fontId="52" fillId="0" borderId="0" xfId="1" applyNumberFormat="1" applyFont="1" applyAlignment="1">
      <alignment vertical="center"/>
    </xf>
    <xf numFmtId="166" fontId="53" fillId="0" borderId="0" xfId="1" applyNumberFormat="1" applyFont="1" applyAlignment="1">
      <alignment vertical="center"/>
    </xf>
    <xf numFmtId="0" fontId="48" fillId="0" borderId="0" xfId="0" applyFont="1" applyAlignment="1">
      <alignment vertical="center"/>
    </xf>
    <xf numFmtId="10" fontId="48" fillId="0" borderId="0" xfId="0" applyNumberFormat="1" applyFont="1" applyAlignment="1">
      <alignment vertical="center"/>
    </xf>
    <xf numFmtId="0" fontId="48" fillId="0" borderId="0" xfId="0" applyFont="1"/>
    <xf numFmtId="171" fontId="48" fillId="34" borderId="20" xfId="2" applyNumberFormat="1" applyFont="1" applyFill="1" applyBorder="1" applyAlignment="1">
      <alignment vertical="center"/>
    </xf>
    <xf numFmtId="171" fontId="48" fillId="34" borderId="21" xfId="2" applyNumberFormat="1" applyFont="1" applyFill="1" applyBorder="1" applyAlignment="1">
      <alignment vertical="center"/>
    </xf>
    <xf numFmtId="171" fontId="48" fillId="34" borderId="23" xfId="2" applyNumberFormat="1" applyFont="1" applyFill="1" applyBorder="1" applyAlignment="1">
      <alignment vertical="center"/>
    </xf>
    <xf numFmtId="171" fontId="48" fillId="34" borderId="22" xfId="2" applyNumberFormat="1" applyFont="1" applyFill="1" applyBorder="1" applyAlignment="1">
      <alignment vertical="center"/>
    </xf>
    <xf numFmtId="0" fontId="48" fillId="0" borderId="0" xfId="0" applyFont="1" applyBorder="1" applyAlignment="1">
      <alignment vertical="center"/>
    </xf>
    <xf numFmtId="166" fontId="55" fillId="0" borderId="0" xfId="1" applyNumberFormat="1" applyFont="1" applyAlignment="1">
      <alignment horizontal="left" vertical="center"/>
    </xf>
    <xf numFmtId="166" fontId="48" fillId="0" borderId="0" xfId="1" applyNumberFormat="1" applyFont="1" applyAlignment="1">
      <alignment horizontal="left" vertical="center"/>
    </xf>
    <xf numFmtId="14" fontId="53" fillId="0" borderId="0" xfId="1" applyNumberFormat="1" applyFont="1" applyAlignment="1">
      <alignment vertical="center"/>
    </xf>
    <xf numFmtId="166" fontId="51" fillId="36" borderId="12" xfId="1" applyNumberFormat="1" applyFont="1" applyFill="1" applyBorder="1" applyAlignment="1">
      <alignment vertical="center"/>
    </xf>
    <xf numFmtId="172" fontId="48" fillId="0" borderId="0" xfId="44" applyNumberFormat="1" applyFont="1" applyBorder="1" applyAlignment="1">
      <alignment vertical="center"/>
    </xf>
    <xf numFmtId="166" fontId="48" fillId="0" borderId="0" xfId="1" applyNumberFormat="1" applyFont="1" applyBorder="1" applyAlignment="1">
      <alignment vertical="center"/>
    </xf>
    <xf numFmtId="14" fontId="48" fillId="0" borderId="0" xfId="1" applyNumberFormat="1" applyFont="1" applyFill="1" applyBorder="1" applyAlignment="1">
      <alignment vertical="center"/>
    </xf>
    <xf numFmtId="14" fontId="48" fillId="0" borderId="0" xfId="1" applyNumberFormat="1" applyFont="1" applyBorder="1" applyAlignment="1">
      <alignment vertical="center"/>
    </xf>
    <xf numFmtId="172" fontId="48" fillId="0" borderId="0" xfId="44" applyNumberFormat="1" applyFont="1" applyAlignment="1">
      <alignment vertical="center"/>
    </xf>
    <xf numFmtId="166" fontId="56" fillId="0" borderId="0" xfId="1" applyNumberFormat="1" applyFont="1" applyBorder="1" applyAlignment="1">
      <alignment vertical="center"/>
    </xf>
    <xf numFmtId="1" fontId="48" fillId="0" borderId="0" xfId="1" applyNumberFormat="1" applyFont="1" applyBorder="1" applyAlignment="1">
      <alignment vertical="center"/>
    </xf>
    <xf numFmtId="1" fontId="53" fillId="0" borderId="0" xfId="1" applyNumberFormat="1" applyFont="1" applyBorder="1" applyAlignment="1">
      <alignment vertical="center"/>
    </xf>
    <xf numFmtId="172" fontId="52" fillId="0" borderId="10" xfId="44" applyNumberFormat="1" applyFont="1" applyBorder="1" applyAlignment="1">
      <alignment vertical="center"/>
    </xf>
    <xf numFmtId="43" fontId="48" fillId="0" borderId="0" xfId="1" applyFont="1" applyBorder="1" applyAlignment="1">
      <alignment vertical="center"/>
    </xf>
    <xf numFmtId="172" fontId="52" fillId="0" borderId="0" xfId="44" applyNumberFormat="1" applyFont="1" applyBorder="1" applyAlignment="1">
      <alignment vertical="center"/>
    </xf>
    <xf numFmtId="14" fontId="56" fillId="0" borderId="0" xfId="1" applyNumberFormat="1" applyFont="1" applyFill="1" applyBorder="1" applyAlignment="1">
      <alignment vertical="center"/>
    </xf>
    <xf numFmtId="14" fontId="56" fillId="0" borderId="0" xfId="1" applyNumberFormat="1" applyFont="1" applyBorder="1" applyAlignment="1">
      <alignment vertical="center"/>
    </xf>
    <xf numFmtId="14" fontId="57" fillId="0" borderId="0" xfId="1" applyNumberFormat="1" applyFont="1" applyBorder="1" applyAlignment="1">
      <alignment vertical="center"/>
    </xf>
    <xf numFmtId="166" fontId="52" fillId="0" borderId="0" xfId="1" applyNumberFormat="1" applyFont="1" applyBorder="1" applyAlignment="1">
      <alignment vertical="center"/>
    </xf>
    <xf numFmtId="168" fontId="52" fillId="0" borderId="14" xfId="1" applyNumberFormat="1" applyFont="1" applyBorder="1" applyAlignment="1">
      <alignment vertical="center"/>
    </xf>
    <xf numFmtId="168" fontId="52" fillId="0" borderId="0" xfId="1" applyNumberFormat="1" applyFont="1" applyBorder="1" applyAlignment="1">
      <alignment vertical="center"/>
    </xf>
    <xf numFmtId="168" fontId="58" fillId="0" borderId="0" xfId="1" applyNumberFormat="1" applyFont="1" applyBorder="1" applyAlignment="1">
      <alignment vertical="center"/>
    </xf>
    <xf numFmtId="171" fontId="56" fillId="0" borderId="0" xfId="2" applyNumberFormat="1" applyFont="1" applyFill="1" applyBorder="1" applyAlignment="1">
      <alignment vertical="center"/>
    </xf>
    <xf numFmtId="44" fontId="56" fillId="0" borderId="0" xfId="44" applyFont="1" applyFill="1" applyBorder="1" applyAlignment="1">
      <alignment vertical="center"/>
    </xf>
    <xf numFmtId="168" fontId="56" fillId="43" borderId="0" xfId="1" applyNumberFormat="1" applyFont="1" applyFill="1" applyBorder="1" applyAlignment="1">
      <alignment vertical="center"/>
    </xf>
    <xf numFmtId="166" fontId="48" fillId="0" borderId="0" xfId="1" applyNumberFormat="1" applyFont="1" applyFill="1" applyBorder="1" applyAlignment="1">
      <alignment vertical="center"/>
    </xf>
    <xf numFmtId="168" fontId="60" fillId="0" borderId="0" xfId="1" applyNumberFormat="1" applyFont="1" applyAlignment="1">
      <alignment vertical="center"/>
    </xf>
    <xf numFmtId="168" fontId="53" fillId="34" borderId="0" xfId="1" applyNumberFormat="1" applyFont="1" applyFill="1" applyAlignment="1">
      <alignment vertical="center"/>
    </xf>
    <xf numFmtId="171" fontId="61" fillId="0" borderId="0" xfId="2" applyNumberFormat="1" applyFont="1" applyFill="1" applyAlignment="1">
      <alignment vertical="center"/>
    </xf>
    <xf numFmtId="171" fontId="48" fillId="0" borderId="0" xfId="2" applyNumberFormat="1" applyFont="1" applyFill="1" applyBorder="1" applyAlignment="1">
      <alignment vertical="center"/>
    </xf>
    <xf numFmtId="171" fontId="60" fillId="0" borderId="0" xfId="2" applyNumberFormat="1" applyFont="1" applyAlignment="1">
      <alignment vertical="center"/>
    </xf>
    <xf numFmtId="171" fontId="53" fillId="34" borderId="0" xfId="2" applyNumberFormat="1" applyFont="1" applyFill="1" applyAlignment="1">
      <alignment vertical="center"/>
    </xf>
    <xf numFmtId="171" fontId="61" fillId="0" borderId="0" xfId="2" applyNumberFormat="1" applyFont="1" applyFill="1" applyBorder="1" applyAlignment="1">
      <alignment vertical="center"/>
    </xf>
    <xf numFmtId="168" fontId="61" fillId="0" borderId="0" xfId="1" applyNumberFormat="1" applyFont="1" applyFill="1" applyBorder="1" applyAlignment="1">
      <alignment vertical="center"/>
    </xf>
    <xf numFmtId="168" fontId="56" fillId="0" borderId="0" xfId="1" applyNumberFormat="1" applyFont="1" applyFill="1" applyBorder="1" applyAlignment="1">
      <alignment vertical="center"/>
    </xf>
    <xf numFmtId="14" fontId="56" fillId="0" borderId="24" xfId="1" applyNumberFormat="1" applyFont="1" applyFill="1" applyBorder="1" applyAlignment="1">
      <alignment vertical="center"/>
    </xf>
    <xf numFmtId="168" fontId="56" fillId="0" borderId="24" xfId="1" applyNumberFormat="1" applyFont="1" applyFill="1" applyBorder="1" applyAlignment="1">
      <alignment vertical="center"/>
    </xf>
    <xf numFmtId="168" fontId="60" fillId="0" borderId="24" xfId="0" applyNumberFormat="1" applyFont="1" applyBorder="1" applyAlignment="1">
      <alignment vertical="center"/>
    </xf>
    <xf numFmtId="166" fontId="59" fillId="0" borderId="0" xfId="1" applyNumberFormat="1" applyFont="1" applyBorder="1" applyAlignment="1">
      <alignment vertical="center"/>
    </xf>
    <xf numFmtId="10" fontId="57" fillId="0" borderId="0" xfId="2" applyNumberFormat="1" applyFont="1" applyBorder="1" applyAlignment="1">
      <alignment vertical="center"/>
    </xf>
    <xf numFmtId="168" fontId="48" fillId="0" borderId="0" xfId="1" applyNumberFormat="1" applyFont="1" applyFill="1" applyBorder="1" applyAlignment="1">
      <alignment vertical="center"/>
    </xf>
    <xf numFmtId="171" fontId="56" fillId="0" borderId="0" xfId="2" applyNumberFormat="1" applyFont="1" applyBorder="1" applyAlignment="1">
      <alignment vertical="center"/>
    </xf>
    <xf numFmtId="171" fontId="48" fillId="0" borderId="0" xfId="2" applyNumberFormat="1" applyFont="1" applyBorder="1" applyAlignment="1">
      <alignment vertical="center"/>
    </xf>
    <xf numFmtId="171" fontId="57" fillId="0" borderId="0" xfId="2" applyNumberFormat="1" applyFont="1" applyBorder="1" applyAlignment="1">
      <alignment vertical="center"/>
    </xf>
    <xf numFmtId="171" fontId="53" fillId="34" borderId="0" xfId="2" applyNumberFormat="1" applyFont="1" applyFill="1" applyBorder="1" applyAlignment="1">
      <alignment vertical="center"/>
    </xf>
    <xf numFmtId="171" fontId="57" fillId="0" borderId="0" xfId="1" applyNumberFormat="1" applyFont="1" applyBorder="1" applyAlignment="1">
      <alignment vertical="center"/>
    </xf>
    <xf numFmtId="168" fontId="59" fillId="0" borderId="12" xfId="1" applyNumberFormat="1" applyFont="1" applyFill="1" applyBorder="1" applyAlignment="1">
      <alignment vertical="center"/>
    </xf>
    <xf numFmtId="168" fontId="59" fillId="0" borderId="12" xfId="1" applyNumberFormat="1" applyFont="1" applyBorder="1" applyAlignment="1">
      <alignment vertical="center"/>
    </xf>
    <xf numFmtId="168" fontId="63" fillId="34" borderId="12" xfId="1" applyNumberFormat="1" applyFont="1" applyFill="1" applyBorder="1" applyAlignment="1">
      <alignment vertical="center"/>
    </xf>
    <xf numFmtId="168" fontId="58" fillId="0" borderId="12" xfId="1" applyNumberFormat="1" applyFont="1" applyBorder="1" applyAlignment="1">
      <alignment vertical="center"/>
    </xf>
    <xf numFmtId="9" fontId="56" fillId="0" borderId="0" xfId="2" applyFont="1" applyFill="1" applyBorder="1" applyAlignment="1">
      <alignment vertical="center"/>
    </xf>
    <xf numFmtId="171" fontId="64" fillId="0" borderId="0" xfId="2" applyNumberFormat="1" applyFont="1" applyBorder="1" applyAlignment="1">
      <alignment vertical="center"/>
    </xf>
    <xf numFmtId="168" fontId="56" fillId="0" borderId="11" xfId="1" applyNumberFormat="1" applyFont="1" applyFill="1" applyBorder="1" applyAlignment="1">
      <alignment vertical="center"/>
    </xf>
    <xf numFmtId="168" fontId="64" fillId="0" borderId="11" xfId="1" applyNumberFormat="1" applyFont="1" applyBorder="1" applyAlignment="1">
      <alignment vertical="center"/>
    </xf>
    <xf numFmtId="168" fontId="58" fillId="0" borderId="11" xfId="1" applyNumberFormat="1" applyFont="1" applyBorder="1" applyAlignment="1">
      <alignment vertical="center"/>
    </xf>
    <xf numFmtId="171" fontId="48" fillId="0" borderId="0" xfId="2" applyNumberFormat="1" applyFont="1" applyAlignment="1">
      <alignment vertical="center"/>
    </xf>
    <xf numFmtId="168" fontId="65" fillId="0" borderId="11" xfId="0" applyNumberFormat="1" applyFont="1" applyBorder="1" applyAlignment="1">
      <alignment vertical="center"/>
    </xf>
    <xf numFmtId="166" fontId="48" fillId="0" borderId="11" xfId="1" applyNumberFormat="1" applyFont="1" applyBorder="1" applyAlignment="1">
      <alignment vertical="center"/>
    </xf>
    <xf numFmtId="168" fontId="63" fillId="34" borderId="11" xfId="1" applyNumberFormat="1" applyFont="1" applyFill="1" applyBorder="1" applyAlignment="1">
      <alignment vertical="center"/>
    </xf>
    <xf numFmtId="171" fontId="61" fillId="0" borderId="0" xfId="2" applyNumberFormat="1" applyFont="1" applyBorder="1" applyAlignment="1">
      <alignment vertical="center"/>
    </xf>
    <xf numFmtId="0" fontId="59" fillId="0" borderId="0" xfId="0" applyFont="1" applyAlignment="1">
      <alignment vertical="center"/>
    </xf>
    <xf numFmtId="171" fontId="64" fillId="0" borderId="0" xfId="2" applyNumberFormat="1" applyFont="1" applyFill="1" applyBorder="1" applyAlignment="1">
      <alignment vertical="center"/>
    </xf>
    <xf numFmtId="166" fontId="52" fillId="0" borderId="17" xfId="1" applyNumberFormat="1" applyFont="1" applyBorder="1" applyAlignment="1">
      <alignment vertical="center"/>
    </xf>
    <xf numFmtId="166" fontId="52" fillId="0" borderId="18" xfId="1" applyNumberFormat="1" applyFont="1" applyBorder="1" applyAlignment="1">
      <alignment vertical="center"/>
    </xf>
    <xf numFmtId="166" fontId="60" fillId="0" borderId="18" xfId="0" applyNumberFormat="1" applyFont="1" applyBorder="1" applyAlignment="1">
      <alignment vertical="center"/>
    </xf>
    <xf numFmtId="168" fontId="58" fillId="0" borderId="19" xfId="1" applyNumberFormat="1" applyFont="1" applyBorder="1" applyAlignment="1">
      <alignment vertical="center"/>
    </xf>
    <xf numFmtId="171" fontId="60" fillId="0" borderId="0" xfId="0" applyNumberFormat="1" applyFont="1" applyAlignment="1">
      <alignment vertical="center"/>
    </xf>
    <xf numFmtId="10" fontId="48" fillId="0" borderId="0" xfId="1" applyNumberFormat="1" applyFont="1" applyAlignment="1">
      <alignment vertical="center"/>
    </xf>
    <xf numFmtId="168" fontId="48" fillId="0" borderId="0" xfId="1" applyNumberFormat="1" applyFont="1" applyBorder="1" applyAlignment="1">
      <alignment vertical="center"/>
    </xf>
    <xf numFmtId="169" fontId="52" fillId="0" borderId="11" xfId="1" applyNumberFormat="1" applyFont="1" applyBorder="1" applyAlignment="1">
      <alignment vertical="center"/>
    </xf>
    <xf numFmtId="169" fontId="52" fillId="0" borderId="11" xfId="0" applyNumberFormat="1" applyFont="1" applyBorder="1" applyAlignment="1">
      <alignment vertical="center"/>
    </xf>
    <xf numFmtId="171" fontId="66" fillId="0" borderId="0" xfId="2" applyNumberFormat="1" applyFont="1" applyBorder="1" applyAlignment="1">
      <alignment vertical="center"/>
    </xf>
    <xf numFmtId="166" fontId="52" fillId="0" borderId="17" xfId="1" applyNumberFormat="1" applyFont="1" applyFill="1" applyBorder="1" applyAlignment="1">
      <alignment vertical="center"/>
    </xf>
    <xf numFmtId="0" fontId="48" fillId="0" borderId="18" xfId="0" applyFont="1" applyBorder="1" applyAlignment="1">
      <alignment vertical="center"/>
    </xf>
    <xf numFmtId="166" fontId="52" fillId="0" borderId="18" xfId="0" applyNumberFormat="1" applyFont="1" applyBorder="1" applyAlignment="1">
      <alignment vertical="center"/>
    </xf>
    <xf numFmtId="168" fontId="63" fillId="34" borderId="18" xfId="1" applyNumberFormat="1" applyFont="1" applyFill="1" applyBorder="1" applyAlignment="1">
      <alignment vertical="center"/>
    </xf>
    <xf numFmtId="166" fontId="52" fillId="0" borderId="0" xfId="1" applyNumberFormat="1" applyFont="1" applyFill="1" applyBorder="1" applyAlignment="1">
      <alignment vertical="center"/>
    </xf>
    <xf numFmtId="166" fontId="52" fillId="0" borderId="0" xfId="0" applyNumberFormat="1" applyFont="1" applyBorder="1" applyAlignment="1">
      <alignment vertical="center"/>
    </xf>
    <xf numFmtId="168" fontId="52" fillId="0" borderId="11" xfId="1" applyNumberFormat="1" applyFont="1" applyBorder="1" applyAlignment="1">
      <alignment vertical="center"/>
    </xf>
    <xf numFmtId="168" fontId="52" fillId="0" borderId="11" xfId="0" applyNumberFormat="1" applyFont="1" applyBorder="1" applyAlignment="1">
      <alignment vertical="center"/>
    </xf>
    <xf numFmtId="169" fontId="53" fillId="0" borderId="0" xfId="1" applyNumberFormat="1" applyFont="1" applyAlignment="1">
      <alignment vertical="center"/>
    </xf>
    <xf numFmtId="0" fontId="68" fillId="0" borderId="0" xfId="0" applyFont="1" applyAlignment="1">
      <alignment vertical="center"/>
    </xf>
    <xf numFmtId="166" fontId="59" fillId="0" borderId="0" xfId="1" applyNumberFormat="1" applyFont="1" applyAlignment="1">
      <alignment vertical="center"/>
    </xf>
    <xf numFmtId="168" fontId="66" fillId="0" borderId="14" xfId="1" applyNumberFormat="1" applyFont="1" applyBorder="1" applyAlignment="1">
      <alignment vertical="center"/>
    </xf>
    <xf numFmtId="169" fontId="63" fillId="0" borderId="14" xfId="1" applyNumberFormat="1" applyFont="1" applyBorder="1" applyAlignment="1">
      <alignment vertical="center"/>
    </xf>
    <xf numFmtId="166" fontId="54" fillId="0" borderId="11" xfId="1" applyNumberFormat="1" applyFont="1" applyBorder="1" applyAlignment="1">
      <alignment vertical="center"/>
    </xf>
    <xf numFmtId="166" fontId="55" fillId="0" borderId="0" xfId="1" applyNumberFormat="1" applyFont="1" applyAlignment="1">
      <alignment vertical="center"/>
    </xf>
    <xf numFmtId="166" fontId="63" fillId="0" borderId="11" xfId="1" applyNumberFormat="1" applyFont="1" applyBorder="1" applyAlignment="1">
      <alignment vertical="center"/>
    </xf>
    <xf numFmtId="166" fontId="52" fillId="35" borderId="17" xfId="1" applyNumberFormat="1" applyFont="1" applyFill="1" applyBorder="1" applyAlignment="1">
      <alignment vertical="center"/>
    </xf>
    <xf numFmtId="166" fontId="52" fillId="35" borderId="18" xfId="1" applyNumberFormat="1" applyFont="1" applyFill="1" applyBorder="1" applyAlignment="1">
      <alignment vertical="center"/>
    </xf>
    <xf numFmtId="41" fontId="63" fillId="34" borderId="18" xfId="1" applyNumberFormat="1" applyFont="1" applyFill="1" applyBorder="1" applyAlignment="1">
      <alignment vertical="center"/>
    </xf>
    <xf numFmtId="41" fontId="58" fillId="0" borderId="19" xfId="1" applyNumberFormat="1" applyFont="1" applyBorder="1" applyAlignment="1">
      <alignment vertical="center"/>
    </xf>
    <xf numFmtId="166" fontId="48" fillId="0" borderId="0" xfId="1" applyNumberFormat="1" applyFont="1" applyFill="1" applyAlignment="1">
      <alignment vertical="center"/>
    </xf>
    <xf numFmtId="166" fontId="52" fillId="0" borderId="0" xfId="19" applyNumberFormat="1" applyFont="1" applyBorder="1" applyAlignment="1">
      <alignment vertical="center"/>
    </xf>
    <xf numFmtId="166" fontId="52" fillId="0" borderId="25" xfId="19" applyNumberFormat="1" applyFont="1" applyBorder="1" applyAlignment="1">
      <alignment vertical="center"/>
    </xf>
    <xf numFmtId="166" fontId="52" fillId="0" borderId="0" xfId="1" applyNumberFormat="1" applyFont="1" applyAlignment="1">
      <alignment vertical="center"/>
    </xf>
    <xf numFmtId="170" fontId="48" fillId="0" borderId="0" xfId="1" applyNumberFormat="1" applyFont="1" applyAlignment="1">
      <alignment vertical="center"/>
    </xf>
    <xf numFmtId="44" fontId="48" fillId="0" borderId="0" xfId="44" applyFont="1" applyAlignment="1">
      <alignment vertical="center"/>
    </xf>
    <xf numFmtId="44" fontId="52" fillId="0" borderId="0" xfId="44" applyFont="1" applyAlignment="1">
      <alignment vertical="center"/>
    </xf>
    <xf numFmtId="166" fontId="51" fillId="37" borderId="0" xfId="1" applyNumberFormat="1" applyFont="1" applyFill="1" applyAlignment="1">
      <alignment vertical="center"/>
    </xf>
    <xf numFmtId="166" fontId="46" fillId="36" borderId="0" xfId="1" applyNumberFormat="1" applyFont="1" applyFill="1" applyAlignment="1">
      <alignment vertical="center"/>
    </xf>
    <xf numFmtId="167" fontId="53" fillId="34" borderId="0" xfId="1" applyNumberFormat="1" applyFont="1" applyFill="1" applyAlignment="1">
      <alignment vertical="center"/>
    </xf>
    <xf numFmtId="168" fontId="69" fillId="33" borderId="4" xfId="11" applyNumberFormat="1" applyFont="1" applyFill="1" applyAlignment="1">
      <alignment vertical="center"/>
    </xf>
    <xf numFmtId="166" fontId="49" fillId="36" borderId="11" xfId="1" applyNumberFormat="1" applyFont="1" applyFill="1" applyBorder="1" applyAlignment="1">
      <alignment vertical="center"/>
    </xf>
    <xf numFmtId="166" fontId="49" fillId="36" borderId="12" xfId="1" applyNumberFormat="1" applyFont="1" applyFill="1" applyBorder="1" applyAlignment="1">
      <alignment vertical="center"/>
    </xf>
    <xf numFmtId="0" fontId="70" fillId="37" borderId="12" xfId="0" applyFont="1" applyFill="1" applyBorder="1" applyAlignment="1">
      <alignment vertical="center"/>
    </xf>
    <xf numFmtId="166" fontId="56" fillId="0" borderId="0" xfId="1" applyNumberFormat="1" applyFont="1" applyAlignment="1">
      <alignment vertical="center"/>
    </xf>
    <xf numFmtId="171" fontId="67" fillId="0" borderId="0" xfId="0" applyNumberFormat="1" applyFont="1" applyFill="1" applyAlignment="1">
      <alignment vertical="center"/>
    </xf>
    <xf numFmtId="171" fontId="58" fillId="0" borderId="0" xfId="2" applyNumberFormat="1" applyFont="1" applyBorder="1" applyAlignment="1">
      <alignment vertical="center"/>
    </xf>
    <xf numFmtId="9" fontId="57" fillId="0" borderId="0" xfId="2" applyFont="1" applyBorder="1" applyAlignment="1">
      <alignment vertical="center"/>
    </xf>
    <xf numFmtId="166" fontId="52" fillId="0" borderId="0" xfId="1" applyNumberFormat="1" applyFont="1" applyBorder="1" applyAlignment="1">
      <alignment horizontal="left" vertical="center"/>
    </xf>
    <xf numFmtId="166" fontId="52" fillId="0" borderId="26" xfId="1" applyNumberFormat="1" applyFont="1" applyBorder="1" applyAlignment="1">
      <alignment horizontal="left" vertical="center"/>
    </xf>
    <xf numFmtId="171" fontId="61" fillId="5" borderId="0" xfId="11" applyNumberFormat="1" applyFont="1" applyBorder="1" applyAlignment="1">
      <alignment vertical="center"/>
    </xf>
    <xf numFmtId="9" fontId="48" fillId="43" borderId="0" xfId="2" applyFont="1" applyFill="1" applyAlignment="1">
      <alignment vertical="center"/>
    </xf>
    <xf numFmtId="171" fontId="48" fillId="43" borderId="0" xfId="2" applyNumberFormat="1" applyFont="1" applyFill="1" applyAlignment="1">
      <alignment vertical="center"/>
    </xf>
    <xf numFmtId="175" fontId="48" fillId="34" borderId="0" xfId="2" applyNumberFormat="1" applyFont="1" applyFill="1" applyAlignment="1">
      <alignment vertical="center"/>
    </xf>
    <xf numFmtId="189" fontId="48" fillId="34" borderId="0" xfId="1" applyNumberFormat="1" applyFont="1" applyFill="1" applyAlignment="1">
      <alignment vertical="center"/>
    </xf>
    <xf numFmtId="175" fontId="48" fillId="34" borderId="0" xfId="1" applyNumberFormat="1" applyFont="1" applyFill="1" applyAlignment="1">
      <alignment vertical="center"/>
    </xf>
    <xf numFmtId="166" fontId="52" fillId="0" borderId="12" xfId="1" applyNumberFormat="1" applyFont="1" applyBorder="1" applyAlignment="1">
      <alignment horizontal="right" vertical="center"/>
    </xf>
    <xf numFmtId="9" fontId="48" fillId="43" borderId="0" xfId="2" applyNumberFormat="1" applyFont="1" applyFill="1" applyAlignment="1">
      <alignment vertical="center"/>
    </xf>
    <xf numFmtId="1" fontId="52" fillId="0" borderId="12" xfId="1" applyNumberFormat="1" applyFont="1" applyBorder="1" applyAlignment="1">
      <alignment horizontal="right" vertical="center"/>
    </xf>
    <xf numFmtId="9" fontId="48" fillId="0" borderId="0" xfId="2" applyFont="1" applyAlignment="1">
      <alignment vertical="center"/>
    </xf>
    <xf numFmtId="0" fontId="52" fillId="0" borderId="14" xfId="0" applyFont="1" applyBorder="1" applyAlignment="1">
      <alignment horizontal="right" vertical="center"/>
    </xf>
    <xf numFmtId="0" fontId="48" fillId="34" borderId="0" xfId="0" applyFont="1" applyFill="1" applyAlignment="1">
      <alignment vertical="center"/>
    </xf>
    <xf numFmtId="166" fontId="48" fillId="34" borderId="0" xfId="1" applyNumberFormat="1" applyFont="1" applyFill="1" applyAlignment="1">
      <alignment vertical="center"/>
    </xf>
    <xf numFmtId="168" fontId="48" fillId="34" borderId="0" xfId="1" applyNumberFormat="1" applyFont="1" applyFill="1" applyAlignment="1">
      <alignment vertical="center"/>
    </xf>
    <xf numFmtId="190" fontId="48" fillId="34" borderId="0" xfId="1" applyNumberFormat="1" applyFont="1" applyFill="1" applyAlignment="1">
      <alignment vertical="center"/>
    </xf>
    <xf numFmtId="166" fontId="48" fillId="34" borderId="0" xfId="0" applyNumberFormat="1" applyFont="1" applyFill="1" applyAlignment="1">
      <alignment vertical="center"/>
    </xf>
    <xf numFmtId="166" fontId="49" fillId="36" borderId="0" xfId="1" applyNumberFormat="1" applyFont="1" applyFill="1" applyAlignment="1">
      <alignment vertical="center"/>
    </xf>
    <xf numFmtId="0" fontId="48" fillId="34" borderId="0" xfId="0" applyFont="1" applyFill="1" applyBorder="1" applyAlignment="1">
      <alignment vertical="center"/>
    </xf>
    <xf numFmtId="9" fontId="48" fillId="43" borderId="0" xfId="2" applyFont="1" applyFill="1" applyBorder="1" applyAlignment="1">
      <alignment vertical="center"/>
    </xf>
    <xf numFmtId="175" fontId="48" fillId="34" borderId="0" xfId="0" applyNumberFormat="1" applyFont="1" applyFill="1" applyBorder="1" applyAlignment="1">
      <alignment vertical="center"/>
    </xf>
    <xf numFmtId="175" fontId="48" fillId="34" borderId="0" xfId="0" applyNumberFormat="1" applyFont="1" applyFill="1" applyAlignment="1">
      <alignment vertical="center"/>
    </xf>
    <xf numFmtId="168" fontId="48" fillId="43" borderId="0" xfId="0" applyNumberFormat="1" applyFont="1" applyFill="1" applyAlignment="1">
      <alignment vertical="center"/>
    </xf>
    <xf numFmtId="9" fontId="48" fillId="45" borderId="0" xfId="2" applyFont="1" applyFill="1" applyAlignment="1">
      <alignment vertical="center"/>
    </xf>
    <xf numFmtId="169" fontId="38" fillId="44" borderId="0" xfId="49" applyNumberFormat="1" applyFont="1" applyFill="1" applyBorder="1"/>
    <xf numFmtId="0" fontId="30" fillId="44" borderId="0" xfId="50" applyFont="1" applyFill="1"/>
    <xf numFmtId="0" fontId="30" fillId="44" borderId="0" xfId="47" applyFont="1" applyFill="1"/>
    <xf numFmtId="169" fontId="30" fillId="44" borderId="0" xfId="49" applyNumberFormat="1" applyFont="1" applyFill="1"/>
    <xf numFmtId="169" fontId="32" fillId="44" borderId="0" xfId="49" applyNumberFormat="1" applyFont="1" applyFill="1" applyBorder="1"/>
    <xf numFmtId="0" fontId="56" fillId="0" borderId="0" xfId="0" applyFont="1" applyAlignment="1">
      <alignment vertical="center"/>
    </xf>
    <xf numFmtId="168" fontId="72" fillId="0" borderId="24" xfId="1" applyNumberFormat="1" applyFont="1" applyBorder="1" applyAlignment="1">
      <alignment vertical="center"/>
    </xf>
    <xf numFmtId="168" fontId="73" fillId="0" borderId="24" xfId="1" applyNumberFormat="1" applyFont="1" applyBorder="1" applyAlignment="1">
      <alignment vertical="center"/>
    </xf>
    <xf numFmtId="189" fontId="52" fillId="0" borderId="9" xfId="19" applyNumberFormat="1" applyFont="1" applyFill="1" applyAlignment="1">
      <alignment vertical="center"/>
    </xf>
    <xf numFmtId="171" fontId="52" fillId="0" borderId="9" xfId="2" applyNumberFormat="1" applyFont="1" applyFill="1" applyBorder="1" applyAlignment="1">
      <alignment vertical="center"/>
    </xf>
    <xf numFmtId="9" fontId="52" fillId="0" borderId="9" xfId="2" applyFont="1" applyFill="1" applyBorder="1" applyAlignment="1">
      <alignment vertical="center"/>
    </xf>
    <xf numFmtId="189" fontId="52" fillId="0" borderId="9" xfId="19" applyNumberFormat="1" applyFont="1" applyFill="1" applyBorder="1" applyAlignment="1">
      <alignment vertical="center"/>
    </xf>
    <xf numFmtId="168" fontId="71" fillId="0" borderId="24" xfId="1" applyNumberFormat="1" applyFont="1" applyBorder="1" applyAlignment="1">
      <alignment vertical="center"/>
    </xf>
    <xf numFmtId="171" fontId="53" fillId="34" borderId="0" xfId="2" applyNumberFormat="1" applyFont="1" applyFill="1" applyBorder="1" applyAlignment="1">
      <alignment horizontal="right" vertical="center"/>
    </xf>
    <xf numFmtId="188" fontId="53" fillId="34" borderId="0" xfId="1" applyNumberFormat="1" applyFont="1" applyFill="1" applyAlignment="1">
      <alignment horizontal="right" vertical="center"/>
    </xf>
    <xf numFmtId="43" fontId="53" fillId="34" borderId="0" xfId="1" applyFont="1" applyFill="1" applyAlignment="1">
      <alignment horizontal="right" vertical="center"/>
    </xf>
    <xf numFmtId="171" fontId="60" fillId="0" borderId="0" xfId="2" applyNumberFormat="1" applyFont="1"/>
    <xf numFmtId="166" fontId="49" fillId="38" borderId="0" xfId="4" applyNumberFormat="1" applyFont="1" applyFill="1" applyBorder="1" applyAlignment="1">
      <alignment vertical="center"/>
    </xf>
    <xf numFmtId="0" fontId="52" fillId="39" borderId="12" xfId="1" applyNumberFormat="1" applyFont="1" applyFill="1" applyBorder="1" applyAlignment="1">
      <alignment horizontal="right" vertical="center"/>
    </xf>
    <xf numFmtId="0" fontId="52" fillId="39" borderId="12" xfId="1" applyNumberFormat="1" applyFont="1" applyFill="1" applyBorder="1" applyAlignment="1">
      <alignment vertical="center"/>
    </xf>
    <xf numFmtId="168" fontId="61" fillId="0" borderId="0" xfId="1" applyNumberFormat="1" applyFont="1" applyFill="1" applyAlignment="1">
      <alignment vertical="center"/>
    </xf>
    <xf numFmtId="171" fontId="62" fillId="5" borderId="0" xfId="11" applyNumberFormat="1" applyFont="1" applyBorder="1" applyAlignment="1">
      <alignment vertical="center"/>
    </xf>
    <xf numFmtId="0" fontId="52" fillId="46" borderId="12" xfId="1" applyNumberFormat="1" applyFont="1" applyFill="1" applyBorder="1" applyAlignment="1">
      <alignment vertical="center"/>
    </xf>
    <xf numFmtId="0" fontId="52" fillId="47" borderId="12" xfId="1" applyNumberFormat="1" applyFont="1" applyFill="1" applyBorder="1" applyAlignment="1">
      <alignment vertical="center"/>
    </xf>
    <xf numFmtId="0" fontId="52" fillId="0" borderId="0" xfId="0" applyFont="1" applyAlignment="1">
      <alignment vertical="center"/>
    </xf>
    <xf numFmtId="171" fontId="52" fillId="0" borderId="10" xfId="2" applyNumberFormat="1" applyFont="1" applyBorder="1" applyAlignment="1">
      <alignment vertical="center"/>
    </xf>
    <xf numFmtId="191" fontId="53" fillId="34" borderId="0" xfId="44" applyNumberFormat="1" applyFont="1" applyFill="1" applyAlignment="1">
      <alignment horizontal="right" vertical="center"/>
    </xf>
    <xf numFmtId="172" fontId="53" fillId="34" borderId="0" xfId="44" applyNumberFormat="1" applyFont="1" applyFill="1" applyAlignment="1">
      <alignment horizontal="right" vertical="center"/>
    </xf>
    <xf numFmtId="166" fontId="48" fillId="0" borderId="0" xfId="1" applyNumberFormat="1" applyFont="1" applyBorder="1" applyAlignment="1">
      <alignment vertical="center"/>
    </xf>
    <xf numFmtId="166" fontId="48" fillId="0" borderId="0" xfId="1" applyNumberFormat="1" applyFont="1" applyAlignment="1">
      <alignment vertical="center"/>
    </xf>
    <xf numFmtId="166" fontId="52" fillId="0" borderId="0" xfId="1" applyNumberFormat="1" applyFont="1" applyAlignment="1">
      <alignment vertical="center"/>
    </xf>
    <xf numFmtId="0" fontId="75" fillId="50" borderId="28" xfId="0" applyFont="1" applyFill="1" applyBorder="1" applyAlignment="1">
      <alignment horizontal="center" vertical="center"/>
    </xf>
    <xf numFmtId="0" fontId="76" fillId="49" borderId="28" xfId="0" applyFont="1" applyFill="1" applyBorder="1" applyAlignment="1">
      <alignment vertical="center"/>
    </xf>
    <xf numFmtId="3" fontId="76" fillId="49" borderId="28" xfId="0" applyNumberFormat="1" applyFont="1" applyFill="1" applyBorder="1" applyAlignment="1">
      <alignment vertical="center"/>
    </xf>
    <xf numFmtId="0" fontId="16" fillId="0" borderId="0" xfId="0" applyFont="1" applyAlignment="1">
      <alignment horizontal="right"/>
    </xf>
    <xf numFmtId="0" fontId="0" fillId="0" borderId="0" xfId="0" applyAlignment="1">
      <alignment horizontal="right"/>
    </xf>
    <xf numFmtId="0" fontId="0" fillId="0" borderId="0" xfId="0" applyFill="1"/>
    <xf numFmtId="44" fontId="0" fillId="0" borderId="0" xfId="44" applyFont="1"/>
    <xf numFmtId="0" fontId="0" fillId="0" borderId="11" xfId="0" applyBorder="1"/>
    <xf numFmtId="14" fontId="32" fillId="0" borderId="0" xfId="46" applyNumberFormat="1" applyFont="1" applyFill="1" applyAlignment="1">
      <alignment horizontal="left" vertical="top"/>
    </xf>
    <xf numFmtId="14" fontId="0" fillId="0" borderId="0" xfId="0" applyNumberFormat="1" applyFill="1" applyAlignment="1">
      <alignment horizontal="left" vertical="top"/>
    </xf>
    <xf numFmtId="168" fontId="0" fillId="0" borderId="0" xfId="0" applyNumberFormat="1"/>
    <xf numFmtId="44" fontId="16" fillId="0" borderId="0" xfId="0" applyNumberFormat="1" applyFont="1"/>
    <xf numFmtId="171" fontId="0" fillId="0" borderId="0" xfId="2" applyNumberFormat="1" applyFont="1"/>
    <xf numFmtId="172" fontId="0" fillId="0" borderId="0" xfId="0" applyNumberFormat="1"/>
    <xf numFmtId="43" fontId="0" fillId="0" borderId="0" xfId="1" applyNumberFormat="1" applyFont="1"/>
    <xf numFmtId="0" fontId="48" fillId="0" borderId="16" xfId="0" applyFont="1" applyBorder="1"/>
    <xf numFmtId="168" fontId="48" fillId="51" borderId="0" xfId="1" applyNumberFormat="1" applyFont="1" applyFill="1" applyBorder="1" applyAlignment="1">
      <alignment vertical="center"/>
    </xf>
    <xf numFmtId="168" fontId="64" fillId="51" borderId="0" xfId="1" applyNumberFormat="1" applyFont="1" applyFill="1" applyBorder="1" applyAlignment="1">
      <alignment vertical="center"/>
    </xf>
    <xf numFmtId="168" fontId="61" fillId="51" borderId="0" xfId="1" applyNumberFormat="1" applyFont="1" applyFill="1" applyBorder="1" applyAlignment="1">
      <alignment vertical="center"/>
    </xf>
    <xf numFmtId="168" fontId="56" fillId="51" borderId="0" xfId="1" applyNumberFormat="1" applyFont="1" applyFill="1" applyBorder="1" applyAlignment="1">
      <alignment vertical="center"/>
    </xf>
    <xf numFmtId="168" fontId="48" fillId="51" borderId="0" xfId="1" applyNumberFormat="1" applyFont="1" applyFill="1" applyAlignment="1">
      <alignment vertical="center"/>
    </xf>
    <xf numFmtId="9" fontId="62" fillId="5" borderId="0" xfId="2" applyFont="1" applyFill="1" applyBorder="1" applyAlignment="1">
      <alignment vertical="center"/>
    </xf>
    <xf numFmtId="169" fontId="0" fillId="0" borderId="0" xfId="0" applyNumberFormat="1"/>
    <xf numFmtId="166" fontId="0" fillId="0" borderId="0" xfId="0" applyNumberFormat="1"/>
    <xf numFmtId="0" fontId="49" fillId="37" borderId="29" xfId="0" applyFont="1" applyFill="1" applyBorder="1"/>
    <xf numFmtId="0" fontId="49" fillId="37" borderId="30" xfId="0" applyFont="1" applyFill="1" applyBorder="1"/>
    <xf numFmtId="0" fontId="49" fillId="37" borderId="31" xfId="0" applyFont="1" applyFill="1" applyBorder="1"/>
    <xf numFmtId="0" fontId="48" fillId="52" borderId="32" xfId="0" applyFont="1" applyFill="1" applyBorder="1"/>
    <xf numFmtId="0" fontId="48" fillId="52" borderId="33" xfId="0" applyFont="1" applyFill="1" applyBorder="1" applyAlignment="1"/>
    <xf numFmtId="0" fontId="48" fillId="52" borderId="33" xfId="0" applyNumberFormat="1" applyFont="1" applyFill="1" applyBorder="1" applyAlignment="1"/>
    <xf numFmtId="0" fontId="48" fillId="52" borderId="33" xfId="0" applyFont="1" applyFill="1" applyBorder="1"/>
    <xf numFmtId="0" fontId="48" fillId="52" borderId="34" xfId="0" applyFont="1" applyFill="1" applyBorder="1"/>
    <xf numFmtId="0" fontId="48" fillId="53" borderId="32" xfId="0" applyFont="1" applyFill="1" applyBorder="1"/>
    <xf numFmtId="0" fontId="48" fillId="53" borderId="33" xfId="0" applyFont="1" applyFill="1" applyBorder="1" applyAlignment="1"/>
    <xf numFmtId="0" fontId="48" fillId="53" borderId="33" xfId="0" applyNumberFormat="1" applyFont="1" applyFill="1" applyBorder="1" applyAlignment="1"/>
    <xf numFmtId="0" fontId="48" fillId="53" borderId="33" xfId="0" applyFont="1" applyFill="1" applyBorder="1"/>
    <xf numFmtId="0" fontId="48" fillId="53" borderId="34" xfId="0" applyFont="1" applyFill="1" applyBorder="1"/>
    <xf numFmtId="0" fontId="48" fillId="53" borderId="33" xfId="0" applyNumberFormat="1" applyFont="1" applyFill="1" applyBorder="1"/>
    <xf numFmtId="0" fontId="48" fillId="52" borderId="33" xfId="0" applyNumberFormat="1" applyFont="1" applyFill="1" applyBorder="1"/>
    <xf numFmtId="0" fontId="48" fillId="52" borderId="35" xfId="0" applyFont="1" applyFill="1" applyBorder="1"/>
    <xf numFmtId="0" fontId="48" fillId="52" borderId="36" xfId="0" applyFont="1" applyFill="1" applyBorder="1" applyAlignment="1"/>
    <xf numFmtId="0" fontId="48" fillId="52" borderId="36" xfId="0" applyNumberFormat="1" applyFont="1" applyFill="1" applyBorder="1" applyAlignment="1"/>
    <xf numFmtId="0" fontId="48" fillId="52" borderId="36" xfId="0" applyFont="1" applyFill="1" applyBorder="1"/>
    <xf numFmtId="0" fontId="48" fillId="52" borderId="37" xfId="0" applyFont="1" applyFill="1" applyBorder="1"/>
    <xf numFmtId="0" fontId="48" fillId="0" borderId="38" xfId="0" applyFont="1" applyBorder="1"/>
    <xf numFmtId="167" fontId="49" fillId="54" borderId="33" xfId="0" applyNumberFormat="1" applyFont="1" applyFill="1" applyBorder="1" applyAlignment="1">
      <alignment horizontal="right"/>
    </xf>
    <xf numFmtId="0" fontId="49" fillId="37" borderId="34" xfId="0" applyFont="1" applyFill="1" applyBorder="1" applyAlignment="1"/>
    <xf numFmtId="0" fontId="49" fillId="37" borderId="39" xfId="0" applyFont="1" applyFill="1" applyBorder="1" applyAlignment="1"/>
    <xf numFmtId="0" fontId="49" fillId="37" borderId="32" xfId="0" applyFont="1" applyFill="1" applyBorder="1" applyAlignment="1"/>
    <xf numFmtId="171" fontId="48" fillId="0" borderId="0" xfId="2" applyNumberFormat="1" applyFont="1" applyBorder="1" applyAlignment="1">
      <alignment horizontal="right" vertical="center"/>
    </xf>
    <xf numFmtId="2" fontId="53" fillId="34" borderId="20" xfId="1" applyNumberFormat="1" applyFont="1" applyFill="1" applyBorder="1" applyAlignment="1">
      <alignment horizontal="right" vertical="center"/>
    </xf>
    <xf numFmtId="0" fontId="49" fillId="37" borderId="34" xfId="0" applyFont="1" applyFill="1" applyBorder="1"/>
    <xf numFmtId="0" fontId="49" fillId="37" borderId="39" xfId="0" applyFont="1" applyFill="1" applyBorder="1"/>
    <xf numFmtId="0" fontId="49" fillId="37" borderId="32" xfId="0" applyFont="1" applyFill="1" applyBorder="1"/>
    <xf numFmtId="166" fontId="48" fillId="0" borderId="0" xfId="1" applyNumberFormat="1" applyFont="1" applyBorder="1" applyAlignment="1">
      <alignment vertical="center"/>
    </xf>
    <xf numFmtId="166" fontId="74" fillId="48" borderId="0" xfId="1" applyNumberFormat="1" applyFont="1" applyFill="1" applyBorder="1" applyAlignment="1">
      <alignment vertical="center"/>
    </xf>
    <xf numFmtId="166" fontId="48" fillId="0" borderId="0" xfId="1" applyNumberFormat="1" applyFont="1" applyAlignment="1">
      <alignment vertical="center"/>
    </xf>
    <xf numFmtId="0" fontId="44" fillId="37" borderId="0" xfId="1" applyNumberFormat="1" applyFont="1" applyFill="1" applyAlignment="1">
      <alignment horizontal="right" vertical="center"/>
    </xf>
    <xf numFmtId="0" fontId="70" fillId="37" borderId="12" xfId="0" applyFont="1" applyFill="1" applyBorder="1" applyAlignment="1">
      <alignment horizontal="right" vertical="center"/>
    </xf>
    <xf numFmtId="166" fontId="49" fillId="37" borderId="0" xfId="1" applyNumberFormat="1" applyFont="1" applyFill="1" applyBorder="1" applyAlignment="1">
      <alignment horizontal="left" vertical="center"/>
    </xf>
    <xf numFmtId="166" fontId="49" fillId="36" borderId="0" xfId="1" applyNumberFormat="1" applyFont="1" applyFill="1" applyBorder="1" applyAlignment="1">
      <alignment vertical="center"/>
    </xf>
    <xf numFmtId="166" fontId="47" fillId="37" borderId="0" xfId="1" applyNumberFormat="1" applyFont="1" applyFill="1" applyAlignment="1">
      <alignment vertical="center"/>
    </xf>
    <xf numFmtId="14" fontId="49" fillId="33" borderId="0" xfId="4" applyNumberFormat="1" applyFont="1" applyFill="1" applyBorder="1" applyAlignment="1">
      <alignment horizontal="center" vertical="center"/>
    </xf>
    <xf numFmtId="0" fontId="50" fillId="37" borderId="12" xfId="0" applyFont="1" applyFill="1" applyBorder="1" applyAlignment="1">
      <alignment vertical="center"/>
    </xf>
    <xf numFmtId="166" fontId="49" fillId="36" borderId="11" xfId="1" applyNumberFormat="1" applyFont="1" applyFill="1" applyBorder="1" applyAlignment="1">
      <alignment horizontal="left" vertical="top"/>
    </xf>
    <xf numFmtId="166" fontId="55" fillId="0" borderId="0" xfId="1" applyNumberFormat="1" applyFont="1" applyAlignment="1">
      <alignment horizontal="left" vertical="center"/>
    </xf>
    <xf numFmtId="166" fontId="49" fillId="40" borderId="0" xfId="4" applyNumberFormat="1" applyFont="1" applyFill="1" applyBorder="1" applyAlignment="1">
      <alignment horizontal="center" vertical="center"/>
    </xf>
    <xf numFmtId="166" fontId="49" fillId="36" borderId="11" xfId="1" applyNumberFormat="1" applyFont="1" applyFill="1" applyBorder="1" applyAlignment="1">
      <alignment horizontal="left" vertical="center"/>
    </xf>
    <xf numFmtId="166" fontId="48" fillId="0" borderId="0" xfId="1" applyNumberFormat="1" applyFont="1" applyAlignment="1">
      <alignment horizontal="left" vertical="center"/>
    </xf>
    <xf numFmtId="166" fontId="49" fillId="36" borderId="12" xfId="1" applyNumberFormat="1" applyFont="1" applyFill="1" applyBorder="1" applyAlignment="1">
      <alignment horizontal="left" vertical="center"/>
    </xf>
    <xf numFmtId="166" fontId="59" fillId="0" borderId="0" xfId="1" applyNumberFormat="1" applyFont="1" applyBorder="1" applyAlignment="1">
      <alignment horizontal="left" vertical="center"/>
    </xf>
    <xf numFmtId="166" fontId="48" fillId="0" borderId="0" xfId="1" applyNumberFormat="1" applyFont="1" applyBorder="1" applyAlignment="1">
      <alignment horizontal="left" vertical="center"/>
    </xf>
    <xf numFmtId="166" fontId="52" fillId="0" borderId="0" xfId="1" applyNumberFormat="1" applyFont="1" applyAlignment="1">
      <alignment vertical="center"/>
    </xf>
    <xf numFmtId="166" fontId="52" fillId="0" borderId="0" xfId="1" applyNumberFormat="1" applyFont="1" applyBorder="1" applyAlignment="1">
      <alignment vertical="center"/>
    </xf>
    <xf numFmtId="166" fontId="49" fillId="36" borderId="0" xfId="1" applyNumberFormat="1" applyFont="1" applyFill="1" applyBorder="1" applyAlignment="1">
      <alignment horizontal="left" vertical="center"/>
    </xf>
    <xf numFmtId="166" fontId="49" fillId="36" borderId="11" xfId="1" applyNumberFormat="1" applyFont="1" applyFill="1" applyBorder="1" applyAlignment="1">
      <alignment vertical="top"/>
    </xf>
    <xf numFmtId="166" fontId="54" fillId="0" borderId="0" xfId="1" applyNumberFormat="1" applyFont="1" applyAlignment="1">
      <alignment vertical="center"/>
    </xf>
    <xf numFmtId="166" fontId="48" fillId="0" borderId="27" xfId="1" applyNumberFormat="1" applyFont="1" applyBorder="1" applyAlignment="1">
      <alignment horizontal="left" vertical="center"/>
    </xf>
    <xf numFmtId="166" fontId="48" fillId="0" borderId="26" xfId="1" applyNumberFormat="1" applyFont="1" applyBorder="1" applyAlignment="1">
      <alignment horizontal="left" vertical="center"/>
    </xf>
    <xf numFmtId="166" fontId="52" fillId="0" borderId="0" xfId="1" applyNumberFormat="1" applyFont="1" applyBorder="1" applyAlignment="1">
      <alignment horizontal="left" vertical="center"/>
    </xf>
    <xf numFmtId="166" fontId="48" fillId="0" borderId="26" xfId="1" applyNumberFormat="1" applyFont="1" applyBorder="1" applyAlignment="1">
      <alignment vertical="center"/>
    </xf>
    <xf numFmtId="0" fontId="21" fillId="0" borderId="0" xfId="0" applyFont="1" applyBorder="1" applyAlignment="1">
      <alignment horizontal="center"/>
    </xf>
    <xf numFmtId="0" fontId="23" fillId="0" borderId="0" xfId="45" applyFont="1" applyFill="1" applyAlignment="1">
      <alignment horizontal="left"/>
    </xf>
    <xf numFmtId="0" fontId="22" fillId="0" borderId="0" xfId="45"/>
    <xf numFmtId="0" fontId="24" fillId="0" borderId="0" xfId="45" applyFont="1" applyFill="1" applyAlignment="1">
      <alignment horizontal="left" vertical="top" wrapText="1"/>
    </xf>
    <xf numFmtId="0" fontId="25" fillId="0" borderId="0" xfId="45" applyFont="1" applyFill="1" applyAlignment="1">
      <alignment horizontal="left" vertical="top" wrapText="1"/>
    </xf>
    <xf numFmtId="0" fontId="24" fillId="0" borderId="0" xfId="45" applyFont="1" applyFill="1" applyAlignment="1">
      <alignment horizontal="left"/>
    </xf>
    <xf numFmtId="176" fontId="31" fillId="0" borderId="0" xfId="46" applyNumberFormat="1" applyFont="1" applyAlignment="1">
      <alignment horizontal="center" wrapText="1"/>
    </xf>
    <xf numFmtId="176" fontId="31" fillId="0" borderId="0" xfId="46" applyNumberFormat="1" applyFont="1" applyAlignment="1">
      <alignment horizontal="center"/>
    </xf>
    <xf numFmtId="0" fontId="31" fillId="0" borderId="0" xfId="47" applyFont="1" applyAlignment="1">
      <alignment horizontal="center"/>
    </xf>
    <xf numFmtId="185" fontId="30" fillId="0" borderId="0" xfId="47" applyNumberFormat="1" applyFont="1" applyAlignment="1">
      <alignment horizontal="left" wrapText="1"/>
    </xf>
    <xf numFmtId="0" fontId="30" fillId="0" borderId="0" xfId="46" applyFont="1"/>
    <xf numFmtId="0" fontId="30" fillId="0" borderId="0" xfId="47" applyFont="1"/>
    <xf numFmtId="0" fontId="31" fillId="0" borderId="0" xfId="46" applyFont="1" applyAlignment="1">
      <alignment horizontal="center" wrapText="1"/>
    </xf>
    <xf numFmtId="0" fontId="31" fillId="0" borderId="0" xfId="47" applyFont="1" applyAlignment="1">
      <alignment horizontal="center" wrapText="1"/>
    </xf>
  </cellXfs>
  <cellStyles count="5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omma 2" xfId="49" xr:uid="{65B3F107-9E94-4E9E-8A29-15DAC222497C}"/>
    <cellStyle name="Currency" xfId="44" builtinId="4"/>
    <cellStyle name="Currency 2" xfId="48" xr:uid="{65E286AD-2BD2-4B33-981C-EA9D9173F76F}"/>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5" xr:uid="{9544C2E4-76AF-47C8-B5CB-0CCDFA72D1C4}"/>
    <cellStyle name="Normal 2 2" xfId="47" xr:uid="{EC95F105-D61B-4EA7-8E43-81D9A898F014}"/>
    <cellStyle name="Normal_BalanceSheets" xfId="50" xr:uid="{4C61AC45-F0D5-4882-B481-710023E10F1A}"/>
    <cellStyle name="Normal_financial statements" xfId="53" xr:uid="{3667929C-AF43-427A-ACC7-0C48DF386308}"/>
    <cellStyle name="Normal_Income Statements" xfId="46" xr:uid="{C05167CD-0DB5-4F80-A407-1998A0E3DA18}"/>
    <cellStyle name="Note" xfId="17" builtinId="10" customBuiltin="1"/>
    <cellStyle name="Output" xfId="12" builtinId="21" customBuiltin="1"/>
    <cellStyle name="Percent" xfId="2" builtinId="5"/>
    <cellStyle name="Percent 10" xfId="51" xr:uid="{626A6D66-ACF9-4F46-9E83-596281CFE590}"/>
    <cellStyle name="Percent 2" xfId="52" xr:uid="{6FD87616-AB10-4638-ABA7-03DD7921BEB1}"/>
    <cellStyle name="Title" xfId="3" builtinId="15" customBuiltin="1"/>
    <cellStyle name="Total" xfId="19" builtinId="25" customBuiltin="1"/>
    <cellStyle name="Warning Text" xfId="16" builtinId="11" customBuiltin="1"/>
  </cellStyles>
  <dxfs count="148">
    <dxf>
      <numFmt numFmtId="171" formatCode="0.0%"/>
    </dxf>
    <dxf>
      <numFmt numFmtId="35" formatCode="_-* #,##0.00_-;\-* #,##0.00_-;_-*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8" formatCode="_-* #,##0_-;\-* #,##0_-;_-* &quot;-&quot;??_-;_-@_-"/>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numFmt numFmtId="168" formatCode="_-* #,##0_-;\-* #,##0_-;_-* &quot;-&quot;??_-;_-@_-"/>
    </dxf>
    <dxf>
      <font>
        <b/>
        <i val="0"/>
        <strike val="0"/>
        <condense val="0"/>
        <extend val="0"/>
        <outline val="0"/>
        <shadow val="0"/>
        <u val="none"/>
        <vertAlign val="baseline"/>
        <sz val="10"/>
        <color auto="1"/>
        <name val="Calibri"/>
        <family val="2"/>
        <scheme val="minor"/>
      </font>
      <numFmt numFmtId="19" formatCode="yyyy/mm/dd"/>
      <fill>
        <patternFill patternType="none">
          <fgColor indexed="64"/>
          <bgColor auto="1"/>
        </patternFill>
      </fill>
      <alignment horizontal="left" vertical="top" textRotation="0" wrapText="0" indent="0" justifyLastLine="0" shrinkToFit="0" readingOrder="0"/>
    </dxf>
    <dxf>
      <border outline="0">
        <bottom style="thin">
          <color indexed="64"/>
        </bottom>
      </border>
    </dxf>
    <dxf>
      <numFmt numFmtId="172" formatCode="_-&quot;$&quot;* #,##0_-;\-&quot;$&quot;* #,##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168" formatCode="_-* #,##0_-;\-* #,##0_-;_-* &quot;-&quot;??_-;_-@_-"/>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dxf>
    <dxf>
      <numFmt numFmtId="0" formatCode="General"/>
    </dxf>
    <dxf>
      <numFmt numFmtId="2" formatCode="0.00"/>
    </dxf>
    <dxf>
      <border outline="0">
        <top style="medium">
          <color rgb="FFDDDDDD"/>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9" formatCode="_(* #,##0_);_(* \(#,##0\);_(* &quot;-&quot;??_);_(@_)"/>
    </dxf>
    <dxf>
      <numFmt numFmtId="169" formatCode="_(* #,##0_);_(* \(#,##0\);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6" formatCode="_-* #,##0_-;\(#,##0\)_-;_-* &quot;-&quot;_-;_-@_-"/>
    </dxf>
    <dxf>
      <numFmt numFmtId="166" formatCode="_-* #,##0_-;\(#,##0\)_-;_-* &quot;-&quot;_-;_-@_-"/>
    </dxf>
    <dxf>
      <numFmt numFmtId="166" formatCode="_-* #,##0_-;\(#,##0\)_-;_-* &quot;-&quot;_-;_-@_-"/>
    </dxf>
    <dxf>
      <numFmt numFmtId="166" formatCode="_-* #,##0_-;\(#,##0\)_-;_-* &quot;-&quot;_-;_-@_-"/>
    </dxf>
    <dxf>
      <numFmt numFmtId="166" formatCode="_-* #,##0_-;\(#,##0\)_-;_-* &quot;-&quot;_-;_-@_-"/>
    </dxf>
    <dxf>
      <numFmt numFmtId="166" formatCode="_-* #,##0_-;\(#,##0\)_-;_-* &quot;-&quot;_-;_-@_-"/>
    </dxf>
    <dxf>
      <numFmt numFmtId="166" formatCode="_-* #,##0_-;\(#,##0\)_-;_-* &quot;-&quot;_-;_-@_-"/>
    </dxf>
    <dxf>
      <numFmt numFmtId="166" formatCode="_-* #,##0_-;\(#,##0\)_-;_-* &quot;-&quot;_-;_-@_-"/>
    </dxf>
    <dxf>
      <numFmt numFmtId="166" formatCode="_-* #,##0_-;\(#,##0\)_-;_-* &quot;-&quot;_-;_-@_-"/>
    </dxf>
    <dxf>
      <numFmt numFmtId="166" formatCode="_-* #,##0_-;\(#,##0\)_-;_-* &quot;-&quot;_-;_-@_-"/>
    </dxf>
    <dxf>
      <numFmt numFmtId="166" formatCode="_-* #,##0_-;\(#,##0\)_-;_-* &quot;-&quot;_-;_-@_-"/>
    </dxf>
    <dxf>
      <numFmt numFmtId="166" formatCode="_-* #,##0_-;\(#,##0\)_-;_-* &quot;-&quot;_-;_-@_-"/>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B050"/>
      </font>
    </dxf>
    <dxf>
      <font>
        <color rgb="FFFF0000"/>
      </font>
    </dxf>
    <dxf>
      <fill>
        <patternFill>
          <bgColor rgb="FFFF0000"/>
        </patternFill>
      </fill>
      <border>
        <left style="thin">
          <color rgb="FF9C0006"/>
        </left>
        <right style="thin">
          <color rgb="FF9C0006"/>
        </right>
        <top style="thin">
          <color rgb="FF9C0006"/>
        </top>
        <bottom style="thin">
          <color rgb="FF9C0006"/>
        </bottom>
      </border>
    </dxf>
    <dxf>
      <fill>
        <patternFill>
          <bgColor theme="9"/>
        </patternFill>
      </fill>
    </dxf>
  </dxfs>
  <tableStyles count="0" defaultTableStyle="TableStyleMedium2" defaultPivotStyle="PivotStyleLight16"/>
  <colors>
    <mruColors>
      <color rgb="FFFF4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ichStyles" Target="richData/richStyles.xml"/><Relationship Id="rId21" Type="http://schemas.openxmlformats.org/officeDocument/2006/relationships/worksheet" Target="worksheets/sheet21.xml"/><Relationship Id="rId34" Type="http://schemas.openxmlformats.org/officeDocument/2006/relationships/styles" Target="styles.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2.xml"/><Relationship Id="rId37" Type="http://schemas.microsoft.com/office/2017/06/relationships/rdRichValue" Target="richData/rdrichvalue.xml"/><Relationship Id="rId40"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Cambria" panose="02040503050406030204" pitchFamily="18" charset="0"/>
                <a:ea typeface="Cambria" panose="02040503050406030204" pitchFamily="18" charset="0"/>
                <a:cs typeface="+mn-cs"/>
              </a:defRPr>
            </a:pPr>
            <a:r>
              <a:rPr lang="en-US" sz="1400">
                <a:latin typeface="Cambria" panose="02040503050406030204" pitchFamily="18" charset="0"/>
                <a:ea typeface="Cambria" panose="02040503050406030204" pitchFamily="18" charset="0"/>
              </a:rPr>
              <a:t>Free Cash Flow (Millions</a:t>
            </a:r>
            <a:r>
              <a:rPr lang="en-US" sz="1400" baseline="0">
                <a:latin typeface="Cambria" panose="02040503050406030204" pitchFamily="18" charset="0"/>
                <a:ea typeface="Cambria" panose="02040503050406030204" pitchFamily="18" charset="0"/>
              </a:rPr>
              <a:t> $)</a:t>
            </a:r>
            <a:endParaRPr lang="en-US" sz="1400">
              <a:latin typeface="Cambria" panose="02040503050406030204" pitchFamily="18" charset="0"/>
              <a:ea typeface="Cambria" panose="02040503050406030204" pitchFamily="18" charset="0"/>
            </a:endParaRPr>
          </a:p>
        </c:rich>
      </c:tx>
      <c:layout>
        <c:manualLayout>
          <c:xMode val="edge"/>
          <c:yMode val="edge"/>
          <c:x val="1.3796640882120589E-2"/>
          <c:y val="3.330955328479405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Cambria" panose="02040503050406030204" pitchFamily="18" charset="0"/>
              <a:ea typeface="Cambria" panose="02040503050406030204" pitchFamily="18" charset="0"/>
              <a:cs typeface="+mn-cs"/>
            </a:defRPr>
          </a:pPr>
          <a:endParaRPr lang="en-US"/>
        </a:p>
      </c:txPr>
    </c:title>
    <c:autoTitleDeleted val="0"/>
    <c:plotArea>
      <c:layout>
        <c:manualLayout>
          <c:layoutTarget val="inner"/>
          <c:xMode val="edge"/>
          <c:yMode val="edge"/>
          <c:x val="2.6785320473994005E-2"/>
          <c:y val="2.2345502123718202E-2"/>
          <c:w val="0.94013605442176873"/>
          <c:h val="0.94467054641156067"/>
        </c:manualLayout>
      </c:layout>
      <c:barChart>
        <c:barDir val="col"/>
        <c:grouping val="clustered"/>
        <c:varyColors val="0"/>
        <c:ser>
          <c:idx val="0"/>
          <c:order val="0"/>
          <c:spPr>
            <a:solidFill>
              <a:srgbClr val="A9D18E"/>
            </a:solidFill>
            <a:ln>
              <a:noFill/>
            </a:ln>
            <a:effectLst/>
          </c:spPr>
          <c:invertIfNegative val="1"/>
          <c:dPt>
            <c:idx val="9"/>
            <c:invertIfNegative val="1"/>
            <c:bubble3D val="0"/>
            <c:extLst>
              <c:ext xmlns:c16="http://schemas.microsoft.com/office/drawing/2014/chart" uri="{C3380CC4-5D6E-409C-BE32-E72D297353CC}">
                <c16:uniqueId val="{00000006-3272-4BF8-8D0B-AF9FC063B97D}"/>
              </c:ext>
            </c:extLst>
          </c:dPt>
          <c:dLbls>
            <c:dLbl>
              <c:idx val="6"/>
              <c:layout>
                <c:manualLayout>
                  <c:x val="0"/>
                  <c:y val="2.006959132536037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272-4BF8-8D0B-AF9FC063B97D}"/>
                </c:ext>
              </c:extLst>
            </c:dLbl>
            <c:dLbl>
              <c:idx val="7"/>
              <c:layout>
                <c:manualLayout>
                  <c:x val="0"/>
                  <c:y val="5.5806997081294049E-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272-4BF8-8D0B-AF9FC063B97D}"/>
                </c:ext>
              </c:extLst>
            </c:dLbl>
            <c:dLbl>
              <c:idx val="8"/>
              <c:layout>
                <c:manualLayout>
                  <c:x val="-1.0637145026761012E-16"/>
                  <c:y val="-2.605140382501178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272-4BF8-8D0B-AF9FC063B97D}"/>
                </c:ext>
              </c:extLst>
            </c:dLbl>
            <c:dLbl>
              <c:idx val="9"/>
              <c:layout>
                <c:manualLayout>
                  <c:x val="0"/>
                  <c:y val="-4.412589500471569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272-4BF8-8D0B-AF9FC063B97D}"/>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('DCF Model'!$E$42:$I$42,'DCF Model'!$K$42:$P$42)</c:f>
              <c:numCache>
                <c:formatCode>m/d/yyyy</c:formatCode>
                <c:ptCount val="11"/>
                <c:pt idx="0">
                  <c:v>43100</c:v>
                </c:pt>
                <c:pt idx="1">
                  <c:v>43465</c:v>
                </c:pt>
                <c:pt idx="2">
                  <c:v>43830</c:v>
                </c:pt>
                <c:pt idx="3">
                  <c:v>44196</c:v>
                </c:pt>
                <c:pt idx="4">
                  <c:v>44561</c:v>
                </c:pt>
                <c:pt idx="5">
                  <c:v>44926</c:v>
                </c:pt>
                <c:pt idx="6">
                  <c:v>45291</c:v>
                </c:pt>
                <c:pt idx="7">
                  <c:v>45657</c:v>
                </c:pt>
                <c:pt idx="8">
                  <c:v>46022</c:v>
                </c:pt>
                <c:pt idx="9">
                  <c:v>46387</c:v>
                </c:pt>
                <c:pt idx="10">
                  <c:v>46752</c:v>
                </c:pt>
              </c:numCache>
            </c:numRef>
          </c:cat>
          <c:val>
            <c:numRef>
              <c:f>('DCF Model'!$E$200:$I$200,'DCF Model'!$K$200:$P$200)</c:f>
              <c:numCache>
                <c:formatCode>_-* #,##0_-;\(#,##0\)_-;_-* "-"_-;_-@_-</c:formatCode>
                <c:ptCount val="11"/>
                <c:pt idx="0">
                  <c:v>-3920.616</c:v>
                </c:pt>
                <c:pt idx="1">
                  <c:v>-4946.2160000000022</c:v>
                </c:pt>
                <c:pt idx="2">
                  <c:v>1743.9290000000037</c:v>
                </c:pt>
                <c:pt idx="3">
                  <c:v>239.76899999999841</c:v>
                </c:pt>
                <c:pt idx="4">
                  <c:v>1946.6440000000002</c:v>
                </c:pt>
                <c:pt idx="5" formatCode="_(* #,##0_);_(* \(#,##0\);_(* &quot;-&quot;_);_(@_)">
                  <c:v>1918.40270987953</c:v>
                </c:pt>
                <c:pt idx="6" formatCode="_(* #,##0_);_(* \(#,##0\);_(* &quot;-&quot;_);_(@_)">
                  <c:v>2110.2896102569412</c:v>
                </c:pt>
                <c:pt idx="7" formatCode="_(* #,##0_);_(* \(#,##0\);_(* &quot;-&quot;_);_(@_)">
                  <c:v>2099.7858302453865</c:v>
                </c:pt>
                <c:pt idx="8" formatCode="_(* #,##0_);_(* \(#,##0\);_(* &quot;-&quot;_);_(@_)">
                  <c:v>3010.5878503984986</c:v>
                </c:pt>
                <c:pt idx="9" formatCode="_(* #,##0_);_(* \(#,##0\);_(* &quot;-&quot;_);_(@_)">
                  <c:v>4219.7118770449333</c:v>
                </c:pt>
                <c:pt idx="10" formatCode="_(* #,##0_);_(* \(#,##0\);_(* &quot;-&quot;_);_(@_)">
                  <c:v>5789.5694505250922</c:v>
                </c:pt>
              </c:numCache>
            </c:numRef>
          </c:val>
          <c:extLst>
            <c:ext xmlns:c14="http://schemas.microsoft.com/office/drawing/2007/8/2/chart" uri="{6F2FDCE9-48DA-4B69-8628-5D25D57E5C99}">
              <c14:invertSolidFillFmt>
                <c14:spPr xmlns:c14="http://schemas.microsoft.com/office/drawing/2007/8/2/chart">
                  <a:solidFill>
                    <a:srgbClr val="FF4B4B"/>
                  </a:solidFill>
                  <a:ln>
                    <a:noFill/>
                  </a:ln>
                  <a:effectLst/>
                </c14:spPr>
              </c14:invertSolidFillFmt>
            </c:ext>
            <c:ext xmlns:c16="http://schemas.microsoft.com/office/drawing/2014/chart" uri="{C3380CC4-5D6E-409C-BE32-E72D297353CC}">
              <c16:uniqueId val="{00000000-E5FA-4214-B93A-1AEE3BDFDEF7}"/>
            </c:ext>
          </c:extLst>
        </c:ser>
        <c:dLbls>
          <c:showLegendKey val="0"/>
          <c:showVal val="0"/>
          <c:showCatName val="0"/>
          <c:showSerName val="0"/>
          <c:showPercent val="0"/>
          <c:showBubbleSize val="0"/>
        </c:dLbls>
        <c:gapWidth val="30"/>
        <c:overlap val="-24"/>
        <c:axId val="542849320"/>
        <c:axId val="542849648"/>
      </c:barChart>
      <c:dateAx>
        <c:axId val="542849320"/>
        <c:scaling>
          <c:orientation val="minMax"/>
        </c:scaling>
        <c:delete val="0"/>
        <c:axPos val="b"/>
        <c:numFmt formatCode="yyyy"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crossAx val="542849648"/>
        <c:crosses val="autoZero"/>
        <c:auto val="1"/>
        <c:lblOffset val="100"/>
        <c:baseTimeUnit val="years"/>
        <c:majorUnit val="1"/>
        <c:majorTimeUnit val="years"/>
        <c:minorUnit val="1"/>
        <c:minorTimeUnit val="years"/>
      </c:dateAx>
      <c:valAx>
        <c:axId val="542849648"/>
        <c:scaling>
          <c:orientation val="minMax"/>
        </c:scaling>
        <c:delete val="1"/>
        <c:axPos val="l"/>
        <c:numFmt formatCode="&quot;$&quot;#,##0" sourceLinked="0"/>
        <c:majorTickMark val="none"/>
        <c:minorTickMark val="none"/>
        <c:tickLblPos val="nextTo"/>
        <c:crossAx val="542849320"/>
        <c:crosses val="autoZero"/>
        <c:crossBetween val="between"/>
      </c:valAx>
      <c:spPr>
        <a:noFill/>
        <a:ln w="25400">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7208343386046"/>
          <c:y val="0.17449325413270708"/>
          <c:w val="0.49133661417322833"/>
          <c:h val="0.8188943569553806"/>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876-442F-BFAE-9E915DEFF96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876-442F-BFAE-9E915DEFF96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876-442F-BFAE-9E915DEFF96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FF2-4C49-90B1-91494B1E7C18}"/>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EFF2-4C49-90B1-91494B1E7C18}"/>
              </c:ext>
            </c:extLst>
          </c:dPt>
          <c:dLbls>
            <c:dLbl>
              <c:idx val="3"/>
              <c:layout>
                <c:manualLayout>
                  <c:x val="-0.16713091922005568"/>
                  <c:y val="-9.941520467836256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FF2-4C49-90B1-91494B1E7C18}"/>
                </c:ext>
              </c:extLst>
            </c:dLbl>
            <c:dLbl>
              <c:idx val="4"/>
              <c:layout>
                <c:manualLayout>
                  <c:x val="0.24141132776230256"/>
                  <c:y val="-0.1052631578947368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FF2-4C49-90B1-91494B1E7C18}"/>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'DCF Model'!$F$6:$F$10</c:f>
              <c:strCache>
                <c:ptCount val="5"/>
                <c:pt idx="0">
                  <c:v> UCAN </c:v>
                </c:pt>
                <c:pt idx="1">
                  <c:v> EMEA </c:v>
                </c:pt>
                <c:pt idx="2">
                  <c:v> LATAM </c:v>
                </c:pt>
                <c:pt idx="3">
                  <c:v> APAC </c:v>
                </c:pt>
                <c:pt idx="4">
                  <c:v> DIVIR </c:v>
                </c:pt>
              </c:strCache>
            </c:strRef>
          </c:cat>
          <c:val>
            <c:numRef>
              <c:f>'DCF Model'!$K$6:$K$10</c:f>
              <c:numCache>
                <c:formatCode>0%</c:formatCode>
                <c:ptCount val="5"/>
                <c:pt idx="0">
                  <c:v>0.55465866466616653</c:v>
                </c:pt>
                <c:pt idx="1">
                  <c:v>0.14118953572500681</c:v>
                </c:pt>
                <c:pt idx="2">
                  <c:v>0.2877384826131778</c:v>
                </c:pt>
                <c:pt idx="3">
                  <c:v>3.7865687796607525E-2</c:v>
                </c:pt>
                <c:pt idx="4">
                  <c:v>7.0953318905468878E-3</c:v>
                </c:pt>
              </c:numCache>
            </c:numRef>
          </c:val>
          <c:extLst>
            <c:ext xmlns:c16="http://schemas.microsoft.com/office/drawing/2014/chart" uri="{C3380CC4-5D6E-409C-BE32-E72D297353CC}">
              <c16:uniqueId val="{00000000-EFF2-4C49-90B1-91494B1E7C18}"/>
            </c:ext>
          </c:extLst>
        </c:ser>
        <c:dLbls>
          <c:showLegendKey val="0"/>
          <c:showVal val="0"/>
          <c:showCatName val="0"/>
          <c:showSerName val="0"/>
          <c:showPercent val="1"/>
          <c:showBubbleSize val="0"/>
          <c:showLeaderLines val="1"/>
        </c:dLbls>
        <c:firstSliceAng val="0"/>
        <c:holeSize val="4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'APAC Forecasts'!$B$1</c:f>
              <c:strCache>
                <c:ptCount val="1"/>
                <c:pt idx="0">
                  <c:v>Values</c:v>
                </c:pt>
              </c:strCache>
            </c:strRef>
          </c:tx>
          <c:spPr>
            <a:ln w="28575" cap="rnd">
              <a:solidFill>
                <a:schemeClr val="accent1"/>
              </a:solidFill>
              <a:round/>
            </a:ln>
            <a:effectLst/>
          </c:spPr>
          <c:marker>
            <c:symbol val="none"/>
          </c:marker>
          <c:val>
            <c:numRef>
              <c:f>'APAC Forecasts'!$B$2:$B$13</c:f>
              <c:numCache>
                <c:formatCode>_-* #,##0_-;\(#,##0\)_-;_-* "-"_-;_-@_-</c:formatCode>
                <c:ptCount val="12"/>
                <c:pt idx="0">
                  <c:v>575.928</c:v>
                </c:pt>
                <c:pt idx="1">
                  <c:v>945.81600000000003</c:v>
                </c:pt>
                <c:pt idx="2">
                  <c:v>1469.521</c:v>
                </c:pt>
                <c:pt idx="3">
                  <c:v>2372.3000000000002</c:v>
                </c:pt>
                <c:pt idx="4">
                  <c:v>3266.6010000000001</c:v>
                </c:pt>
              </c:numCache>
            </c:numRef>
          </c:val>
          <c:smooth val="0"/>
          <c:extLst>
            <c:ext xmlns:c16="http://schemas.microsoft.com/office/drawing/2014/chart" uri="{C3380CC4-5D6E-409C-BE32-E72D297353CC}">
              <c16:uniqueId val="{00000000-6BB1-4272-99FA-EBD1C44979D2}"/>
            </c:ext>
          </c:extLst>
        </c:ser>
        <c:ser>
          <c:idx val="1"/>
          <c:order val="1"/>
          <c:tx>
            <c:strRef>
              <c:f>'APAC Forecasts'!$C$1</c:f>
              <c:strCache>
                <c:ptCount val="1"/>
                <c:pt idx="0">
                  <c:v>Forecast</c:v>
                </c:pt>
              </c:strCache>
            </c:strRef>
          </c:tx>
          <c:spPr>
            <a:ln w="25400" cap="rnd">
              <a:solidFill>
                <a:schemeClr val="accent2"/>
              </a:solidFill>
              <a:round/>
            </a:ln>
            <a:effectLst/>
          </c:spPr>
          <c:marker>
            <c:symbol val="none"/>
          </c:marker>
          <c:cat>
            <c:numRef>
              <c:f>'APAC Forecasts'!$A$2:$A$13</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'APAC Forecasts'!$C$2:$C$13</c:f>
              <c:numCache>
                <c:formatCode>General</c:formatCode>
                <c:ptCount val="12"/>
                <c:pt idx="4" formatCode="_-* #,##0_-;\(#,##0\)_-;_-* &quot;-&quot;_-;_-@_-">
                  <c:v>3266.6010000000001</c:v>
                </c:pt>
                <c:pt idx="5" formatCode="_-* #,##0_-;\(#,##0\)_-;_-* &quot;-&quot;_-;_-@_-">
                  <c:v>3853.4056953338049</c:v>
                </c:pt>
                <c:pt idx="6" formatCode="_-* #,##0_-;\(#,##0\)_-;_-* &quot;-&quot;_-;_-@_-">
                  <c:v>4549.3383823449949</c:v>
                </c:pt>
                <c:pt idx="7" formatCode="_-* #,##0_-;\(#,##0\)_-;_-* &quot;-&quot;_-;_-@_-">
                  <c:v>5245.2710693561858</c:v>
                </c:pt>
                <c:pt idx="8" formatCode="_-* #,##0_-;\(#,##0\)_-;_-* &quot;-&quot;_-;_-@_-">
                  <c:v>5941.2037563673766</c:v>
                </c:pt>
                <c:pt idx="9" formatCode="_-* #,##0_-;\(#,##0\)_-;_-* &quot;-&quot;_-;_-@_-">
                  <c:v>6637.1364433785675</c:v>
                </c:pt>
                <c:pt idx="10" formatCode="_-* #,##0_-;\(#,##0\)_-;_-* &quot;-&quot;_-;_-@_-">
                  <c:v>7333.0691303897574</c:v>
                </c:pt>
                <c:pt idx="11" formatCode="_-* #,##0_-;\(#,##0\)_-;_-* &quot;-&quot;_-;_-@_-">
                  <c:v>8029.0018174009483</c:v>
                </c:pt>
              </c:numCache>
            </c:numRef>
          </c:val>
          <c:smooth val="0"/>
          <c:extLst>
            <c:ext xmlns:c16="http://schemas.microsoft.com/office/drawing/2014/chart" uri="{C3380CC4-5D6E-409C-BE32-E72D297353CC}">
              <c16:uniqueId val="{00000001-6BB1-4272-99FA-EBD1C44979D2}"/>
            </c:ext>
          </c:extLst>
        </c:ser>
        <c:ser>
          <c:idx val="2"/>
          <c:order val="2"/>
          <c:tx>
            <c:strRef>
              <c:f>'APAC Forecasts'!$D$1</c:f>
              <c:strCache>
                <c:ptCount val="1"/>
                <c:pt idx="0">
                  <c:v>Lower Confidence Bound</c:v>
                </c:pt>
              </c:strCache>
            </c:strRef>
          </c:tx>
          <c:spPr>
            <a:ln w="12700" cap="rnd">
              <a:solidFill>
                <a:srgbClr val="ED7D31"/>
              </a:solidFill>
              <a:prstDash val="solid"/>
              <a:round/>
            </a:ln>
            <a:effectLst/>
          </c:spPr>
          <c:marker>
            <c:symbol val="none"/>
          </c:marker>
          <c:cat>
            <c:numRef>
              <c:f>'APAC Forecasts'!$A$2:$A$13</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'APAC Forecasts'!$D$2:$D$13</c:f>
              <c:numCache>
                <c:formatCode>General</c:formatCode>
                <c:ptCount val="12"/>
                <c:pt idx="4" formatCode="_-* #,##0_-;\(#,##0\)_-;_-* &quot;-&quot;_-;_-@_-">
                  <c:v>3266.6010000000001</c:v>
                </c:pt>
                <c:pt idx="5" formatCode="_-* #,##0_-;\(#,##0\)_-;_-* &quot;-&quot;_-;_-@_-">
                  <c:v>3256.6880526671007</c:v>
                </c:pt>
                <c:pt idx="6" formatCode="_-* #,##0_-;\(#,##0\)_-;_-* &quot;-&quot;_-;_-@_-">
                  <c:v>3881.9207025116311</c:v>
                </c:pt>
                <c:pt idx="7" formatCode="_-* #,##0_-;\(#,##0\)_-;_-* &quot;-&quot;_-;_-@_-">
                  <c:v>4513.71251817966</c:v>
                </c:pt>
                <c:pt idx="8" formatCode="_-* #,##0_-;\(#,##0\)_-;_-* &quot;-&quot;_-;_-@_-">
                  <c:v>5150.4652910391496</c:v>
                </c:pt>
                <c:pt idx="9" formatCode="_-* #,##0_-;\(#,##0\)_-;_-* &quot;-&quot;_-;_-@_-">
                  <c:v>5791.1368619670475</c:v>
                </c:pt>
                <c:pt idx="10" formatCode="_-* #,##0_-;\(#,##0\)_-;_-* &quot;-&quot;_-;_-@_-">
                  <c:v>6435.0031308441403</c:v>
                </c:pt>
                <c:pt idx="11" formatCode="_-* #,##0_-;\(#,##0\)_-;_-* &quot;-&quot;_-;_-@_-">
                  <c:v>7081.5368966425394</c:v>
                </c:pt>
              </c:numCache>
            </c:numRef>
          </c:val>
          <c:smooth val="0"/>
          <c:extLst>
            <c:ext xmlns:c16="http://schemas.microsoft.com/office/drawing/2014/chart" uri="{C3380CC4-5D6E-409C-BE32-E72D297353CC}">
              <c16:uniqueId val="{00000002-6BB1-4272-99FA-EBD1C44979D2}"/>
            </c:ext>
          </c:extLst>
        </c:ser>
        <c:ser>
          <c:idx val="3"/>
          <c:order val="3"/>
          <c:tx>
            <c:strRef>
              <c:f>'APAC Forecasts'!$E$1</c:f>
              <c:strCache>
                <c:ptCount val="1"/>
                <c:pt idx="0">
                  <c:v>Upper Confidence Bound</c:v>
                </c:pt>
              </c:strCache>
            </c:strRef>
          </c:tx>
          <c:spPr>
            <a:ln w="12700" cap="rnd">
              <a:solidFill>
                <a:srgbClr val="ED7D31"/>
              </a:solidFill>
              <a:prstDash val="solid"/>
              <a:round/>
            </a:ln>
            <a:effectLst/>
          </c:spPr>
          <c:marker>
            <c:symbol val="none"/>
          </c:marker>
          <c:cat>
            <c:numRef>
              <c:f>'APAC Forecasts'!$A$2:$A$13</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'APAC Forecasts'!$E$2:$E$13</c:f>
              <c:numCache>
                <c:formatCode>General</c:formatCode>
                <c:ptCount val="12"/>
                <c:pt idx="4" formatCode="_-* #,##0_-;\(#,##0\)_-;_-* &quot;-&quot;_-;_-@_-">
                  <c:v>3266.6010000000001</c:v>
                </c:pt>
                <c:pt idx="5" formatCode="_-* #,##0_-;\(#,##0\)_-;_-* &quot;-&quot;_-;_-@_-">
                  <c:v>4450.1233380005096</c:v>
                </c:pt>
                <c:pt idx="6" formatCode="_-* #,##0_-;\(#,##0\)_-;_-* &quot;-&quot;_-;_-@_-">
                  <c:v>5216.7560621783587</c:v>
                </c:pt>
                <c:pt idx="7" formatCode="_-* #,##0_-;\(#,##0\)_-;_-* &quot;-&quot;_-;_-@_-">
                  <c:v>5976.8296205327115</c:v>
                </c:pt>
                <c:pt idx="8" formatCode="_-* #,##0_-;\(#,##0\)_-;_-* &quot;-&quot;_-;_-@_-">
                  <c:v>6731.9422216956036</c:v>
                </c:pt>
                <c:pt idx="9" formatCode="_-* #,##0_-;\(#,##0\)_-;_-* &quot;-&quot;_-;_-@_-">
                  <c:v>7483.1360247900875</c:v>
                </c:pt>
                <c:pt idx="10" formatCode="_-* #,##0_-;\(#,##0\)_-;_-* &quot;-&quot;_-;_-@_-">
                  <c:v>8231.1351299353755</c:v>
                </c:pt>
                <c:pt idx="11" formatCode="_-* #,##0_-;\(#,##0\)_-;_-* &quot;-&quot;_-;_-@_-">
                  <c:v>8976.4667381593572</c:v>
                </c:pt>
              </c:numCache>
            </c:numRef>
          </c:val>
          <c:smooth val="0"/>
          <c:extLst>
            <c:ext xmlns:c16="http://schemas.microsoft.com/office/drawing/2014/chart" uri="{C3380CC4-5D6E-409C-BE32-E72D297353CC}">
              <c16:uniqueId val="{00000003-6BB1-4272-99FA-EBD1C44979D2}"/>
            </c:ext>
          </c:extLst>
        </c:ser>
        <c:dLbls>
          <c:showLegendKey val="0"/>
          <c:showVal val="0"/>
          <c:showCatName val="0"/>
          <c:showSerName val="0"/>
          <c:showPercent val="0"/>
          <c:showBubbleSize val="0"/>
        </c:dLbls>
        <c:smooth val="0"/>
        <c:axId val="1747544880"/>
        <c:axId val="1353253392"/>
      </c:lineChart>
      <c:catAx>
        <c:axId val="174754488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53392"/>
        <c:crosses val="autoZero"/>
        <c:auto val="1"/>
        <c:lblAlgn val="ctr"/>
        <c:lblOffset val="100"/>
        <c:noMultiLvlLbl val="0"/>
      </c:catAx>
      <c:valAx>
        <c:axId val="1353253392"/>
        <c:scaling>
          <c:orientation val="minMax"/>
        </c:scaling>
        <c:delete val="0"/>
        <c:axPos val="l"/>
        <c:majorGridlines>
          <c:spPr>
            <a:ln w="9525" cap="flat" cmpd="sng" algn="ctr">
              <a:solidFill>
                <a:schemeClr val="tx1">
                  <a:lumMod val="15000"/>
                  <a:lumOff val="85000"/>
                </a:schemeClr>
              </a:solidFill>
              <a:round/>
            </a:ln>
            <a:effectLst/>
          </c:spPr>
        </c:majorGridlines>
        <c:numFmt formatCode="_-* #,##0_-;\(#,##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544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'LATAM Forecasts'!$B$1</c:f>
              <c:strCache>
                <c:ptCount val="1"/>
                <c:pt idx="0">
                  <c:v>Values</c:v>
                </c:pt>
              </c:strCache>
            </c:strRef>
          </c:tx>
          <c:spPr>
            <a:solidFill>
              <a:schemeClr val="accent1"/>
            </a:solidFill>
            <a:ln w="12700">
              <a:solidFill>
                <a:srgbClr val="FFFFFF"/>
              </a:solidFill>
              <a:prstDash val="solid"/>
            </a:ln>
            <a:effectLst/>
          </c:spPr>
          <c:invertIfNegative val="0"/>
          <c:val>
            <c:numRef>
              <c:f>'LATAM Forecasts'!$B$2:$B$13</c:f>
              <c:numCache>
                <c:formatCode>_-* #,##0_-;\(#,##0\)_-;_-* "-"_-;_-@_-</c:formatCode>
                <c:ptCount val="12"/>
                <c:pt idx="0">
                  <c:v>1642.616</c:v>
                </c:pt>
                <c:pt idx="1">
                  <c:v>2237.6970000000001</c:v>
                </c:pt>
                <c:pt idx="2">
                  <c:v>2795.4340000000002</c:v>
                </c:pt>
                <c:pt idx="3">
                  <c:v>3156.7269999999999</c:v>
                </c:pt>
                <c:pt idx="4">
                  <c:v>3576.9760000000001</c:v>
                </c:pt>
              </c:numCache>
            </c:numRef>
          </c:val>
          <c:extLst>
            <c:ext xmlns:c16="http://schemas.microsoft.com/office/drawing/2014/chart" uri="{C3380CC4-5D6E-409C-BE32-E72D297353CC}">
              <c16:uniqueId val="{00000000-7056-4056-9E5A-61B80F320DE5}"/>
            </c:ext>
          </c:extLst>
        </c:ser>
        <c:ser>
          <c:idx val="1"/>
          <c:order val="1"/>
          <c:tx>
            <c:strRef>
              <c:f>'LATAM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'LATAM Forecasts'!$D$2:$D$13</c:f>
                <c:numCache>
                  <c:formatCode>General</c:formatCode>
                  <c:ptCount val="12"/>
                  <c:pt idx="5">
                    <c:v>239.0327420607951</c:v>
                  </c:pt>
                  <c:pt idx="6">
                    <c:v>267.35371422482081</c:v>
                  </c:pt>
                  <c:pt idx="7">
                    <c:v>293.04722026363623</c:v>
                  </c:pt>
                  <c:pt idx="8">
                    <c:v>316.75346948962857</c:v>
                  </c:pt>
                  <c:pt idx="9">
                    <c:v>338.88992928608781</c:v>
                  </c:pt>
                  <c:pt idx="10">
                    <c:v>359.74665917974158</c:v>
                  </c:pt>
                  <c:pt idx="11">
                    <c:v>379.53484499501155</c:v>
                  </c:pt>
                </c:numCache>
              </c:numRef>
            </c:plus>
            <c:minus>
              <c:numRef>
                <c:f>'LATAM Forecasts'!$D$2:$D$13</c:f>
                <c:numCache>
                  <c:formatCode>General</c:formatCode>
                  <c:ptCount val="12"/>
                  <c:pt idx="5">
                    <c:v>239.0327420607951</c:v>
                  </c:pt>
                  <c:pt idx="6">
                    <c:v>267.35371422482081</c:v>
                  </c:pt>
                  <c:pt idx="7">
                    <c:v>293.04722026363623</c:v>
                  </c:pt>
                  <c:pt idx="8">
                    <c:v>316.75346948962857</c:v>
                  </c:pt>
                  <c:pt idx="9">
                    <c:v>338.88992928608781</c:v>
                  </c:pt>
                  <c:pt idx="10">
                    <c:v>359.74665917974158</c:v>
                  </c:pt>
                  <c:pt idx="11">
                    <c:v>379.53484499501155</c:v>
                  </c:pt>
                </c:numCache>
              </c:numRef>
            </c:minus>
            <c:spPr>
              <a:noFill/>
              <a:ln w="9525" cap="flat" cmpd="sng" algn="ctr">
                <a:solidFill>
                  <a:srgbClr val="595959">
                    <a:alpha val="40392"/>
                  </a:srgbClr>
                </a:solidFill>
                <a:prstDash val="solid"/>
                <a:round/>
              </a:ln>
              <a:effectLst/>
            </c:spPr>
          </c:errBars>
          <c:cat>
            <c:numRef>
              <c:f>'LATAM Forecasts'!$A$2:$A$13</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'LATAM Forecasts'!$C$2:$C$13</c:f>
              <c:numCache>
                <c:formatCode>General</c:formatCode>
                <c:ptCount val="12"/>
                <c:pt idx="5" formatCode="_-* #,##0_-;\(#,##0\)_-;_-* &quot;-&quot;_-;_-@_-">
                  <c:v>4085.4231180860861</c:v>
                </c:pt>
                <c:pt idx="6" formatCode="_-* #,##0_-;\(#,##0\)_-;_-* &quot;-&quot;_-;_-@_-">
                  <c:v>4558.0712792708755</c:v>
                </c:pt>
                <c:pt idx="7" formatCode="_-* #,##0_-;\(#,##0\)_-;_-* &quot;-&quot;_-;_-@_-">
                  <c:v>5030.7194404556649</c:v>
                </c:pt>
                <c:pt idx="8" formatCode="_-* #,##0_-;\(#,##0\)_-;_-* &quot;-&quot;_-;_-@_-">
                  <c:v>5503.3676016404552</c:v>
                </c:pt>
                <c:pt idx="9" formatCode="_-* #,##0_-;\(#,##0\)_-;_-* &quot;-&quot;_-;_-@_-">
                  <c:v>5976.0157628252437</c:v>
                </c:pt>
                <c:pt idx="10" formatCode="_-* #,##0_-;\(#,##0\)_-;_-* &quot;-&quot;_-;_-@_-">
                  <c:v>6448.663924010034</c:v>
                </c:pt>
                <c:pt idx="11" formatCode="_-* #,##0_-;\(#,##0\)_-;_-* &quot;-&quot;_-;_-@_-">
                  <c:v>6921.3120851948242</c:v>
                </c:pt>
              </c:numCache>
            </c:numRef>
          </c:val>
          <c:extLst>
            <c:ext xmlns:c16="http://schemas.microsoft.com/office/drawing/2014/chart" uri="{C3380CC4-5D6E-409C-BE32-E72D297353CC}">
              <c16:uniqueId val="{00000001-7056-4056-9E5A-61B80F320DE5}"/>
            </c:ext>
          </c:extLst>
        </c:ser>
        <c:dLbls>
          <c:showLegendKey val="0"/>
          <c:showVal val="0"/>
          <c:showCatName val="0"/>
          <c:showSerName val="0"/>
          <c:showPercent val="0"/>
          <c:showBubbleSize val="0"/>
        </c:dLbls>
        <c:gapWidth val="0"/>
        <c:overlap val="100"/>
        <c:axId val="1653154512"/>
        <c:axId val="1668701120"/>
      </c:barChart>
      <c:catAx>
        <c:axId val="165315451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01120"/>
        <c:crosses val="autoZero"/>
        <c:auto val="1"/>
        <c:lblAlgn val="ctr"/>
        <c:lblOffset val="100"/>
        <c:noMultiLvlLbl val="0"/>
      </c:catAx>
      <c:valAx>
        <c:axId val="1668701120"/>
        <c:scaling>
          <c:orientation val="minMax"/>
        </c:scaling>
        <c:delete val="0"/>
        <c:axPos val="l"/>
        <c:majorGridlines>
          <c:spPr>
            <a:ln w="9525" cap="flat" cmpd="sng" algn="ctr">
              <a:solidFill>
                <a:schemeClr val="tx1">
                  <a:lumMod val="15000"/>
                  <a:lumOff val="85000"/>
                </a:schemeClr>
              </a:solidFill>
              <a:round/>
            </a:ln>
            <a:effectLst/>
          </c:spPr>
        </c:majorGridlines>
        <c:numFmt formatCode="_-* #,##0_-;\(#,##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154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'EMEA Forecasts'!$B$1</c:f>
              <c:strCache>
                <c:ptCount val="1"/>
                <c:pt idx="0">
                  <c:v>Values</c:v>
                </c:pt>
              </c:strCache>
            </c:strRef>
          </c:tx>
          <c:spPr>
            <a:solidFill>
              <a:schemeClr val="accent1"/>
            </a:solidFill>
            <a:ln w="12700">
              <a:solidFill>
                <a:srgbClr val="FFFFFF"/>
              </a:solidFill>
              <a:prstDash val="solid"/>
            </a:ln>
            <a:effectLst/>
          </c:spPr>
          <c:invertIfNegative val="0"/>
          <c:val>
            <c:numRef>
              <c:f>'EMEA Forecasts'!$B$2:$B$13</c:f>
              <c:numCache>
                <c:formatCode>_-* #,##0_-;\(#,##0\)_-;_-* "-"_-;_-@_-</c:formatCode>
                <c:ptCount val="12"/>
                <c:pt idx="0">
                  <c:v>2362.8130000000001</c:v>
                </c:pt>
                <c:pt idx="1">
                  <c:v>3963.7069999999999</c:v>
                </c:pt>
                <c:pt idx="2">
                  <c:v>5543.067</c:v>
                </c:pt>
                <c:pt idx="3">
                  <c:v>7772.2520000000004</c:v>
                </c:pt>
                <c:pt idx="4">
                  <c:v>9699.8189999999995</c:v>
                </c:pt>
              </c:numCache>
            </c:numRef>
          </c:val>
          <c:extLst>
            <c:ext xmlns:c16="http://schemas.microsoft.com/office/drawing/2014/chart" uri="{C3380CC4-5D6E-409C-BE32-E72D297353CC}">
              <c16:uniqueId val="{00000000-F5C2-4552-83BE-3F4BBC2C6804}"/>
            </c:ext>
          </c:extLst>
        </c:ser>
        <c:ser>
          <c:idx val="1"/>
          <c:order val="1"/>
          <c:tx>
            <c:strRef>
              <c:f>'EMEA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'EMEA Forecasts'!$D$2:$D$13</c:f>
                <c:numCache>
                  <c:formatCode>General</c:formatCode>
                  <c:ptCount val="12"/>
                  <c:pt idx="5">
                    <c:v>618.30082471661183</c:v>
                  </c:pt>
                  <c:pt idx="6">
                    <c:v>691.55807096172907</c:v>
                  </c:pt>
                  <c:pt idx="7">
                    <c:v>758.01890740069837</c:v>
                  </c:pt>
                  <c:pt idx="8">
                    <c:v>819.33934961710668</c:v>
                  </c:pt>
                  <c:pt idx="9">
                    <c:v>876.59925146342243</c:v>
                  </c:pt>
                  <c:pt idx="10">
                    <c:v>930.54890364478717</c:v>
                  </c:pt>
                  <c:pt idx="11">
                    <c:v>981.73457596625985</c:v>
                  </c:pt>
                </c:numCache>
              </c:numRef>
            </c:plus>
            <c:minus>
              <c:numRef>
                <c:f>'EMEA Forecasts'!$D$2:$D$13</c:f>
                <c:numCache>
                  <c:formatCode>General</c:formatCode>
                  <c:ptCount val="12"/>
                  <c:pt idx="5">
                    <c:v>618.30082471661183</c:v>
                  </c:pt>
                  <c:pt idx="6">
                    <c:v>691.55807096172907</c:v>
                  </c:pt>
                  <c:pt idx="7">
                    <c:v>758.01890740069837</c:v>
                  </c:pt>
                  <c:pt idx="8">
                    <c:v>819.33934961710668</c:v>
                  </c:pt>
                  <c:pt idx="9">
                    <c:v>876.59925146342243</c:v>
                  </c:pt>
                  <c:pt idx="10">
                    <c:v>930.54890364478717</c:v>
                  </c:pt>
                  <c:pt idx="11">
                    <c:v>981.73457596625985</c:v>
                  </c:pt>
                </c:numCache>
              </c:numRef>
            </c:minus>
            <c:spPr>
              <a:noFill/>
              <a:ln w="9525" cap="flat" cmpd="sng" algn="ctr">
                <a:solidFill>
                  <a:srgbClr val="595959">
                    <a:alpha val="40392"/>
                  </a:srgbClr>
                </a:solidFill>
                <a:prstDash val="solid"/>
                <a:round/>
              </a:ln>
              <a:effectLst/>
            </c:spPr>
          </c:errBars>
          <c:cat>
            <c:numRef>
              <c:f>'EMEA Forecasts'!$A$2:$A$13</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'EMEA Forecasts'!$C$2:$C$13</c:f>
              <c:numCache>
                <c:formatCode>General</c:formatCode>
                <c:ptCount val="12"/>
                <c:pt idx="5" formatCode="_-* #,##0_-;\(#,##0\)_-;_-* &quot;-&quot;_-;_-@_-">
                  <c:v>11493.258257335308</c:v>
                </c:pt>
                <c:pt idx="6" formatCode="_-* #,##0_-;\(#,##0\)_-;_-* &quot;-&quot;_-;_-@_-">
                  <c:v>13357.568785455034</c:v>
                </c:pt>
                <c:pt idx="7" formatCode="_-* #,##0_-;\(#,##0\)_-;_-* &quot;-&quot;_-;_-@_-">
                  <c:v>15221.879313574762</c:v>
                </c:pt>
                <c:pt idx="8" formatCode="_-* #,##0_-;\(#,##0\)_-;_-* &quot;-&quot;_-;_-@_-">
                  <c:v>17086.18984169449</c:v>
                </c:pt>
                <c:pt idx="9" formatCode="_-* #,##0_-;\(#,##0\)_-;_-* &quot;-&quot;_-;_-@_-">
                  <c:v>18950.500369814217</c:v>
                </c:pt>
                <c:pt idx="10" formatCode="_-* #,##0_-;\(#,##0\)_-;_-* &quot;-&quot;_-;_-@_-">
                  <c:v>20814.810897933945</c:v>
                </c:pt>
                <c:pt idx="11" formatCode="_-* #,##0_-;\(#,##0\)_-;_-* &quot;-&quot;_-;_-@_-">
                  <c:v>22679.121426053669</c:v>
                </c:pt>
              </c:numCache>
            </c:numRef>
          </c:val>
          <c:extLst>
            <c:ext xmlns:c16="http://schemas.microsoft.com/office/drawing/2014/chart" uri="{C3380CC4-5D6E-409C-BE32-E72D297353CC}">
              <c16:uniqueId val="{00000001-F5C2-4552-83BE-3F4BBC2C6804}"/>
            </c:ext>
          </c:extLst>
        </c:ser>
        <c:dLbls>
          <c:showLegendKey val="0"/>
          <c:showVal val="0"/>
          <c:showCatName val="0"/>
          <c:showSerName val="0"/>
          <c:showPercent val="0"/>
          <c:showBubbleSize val="0"/>
        </c:dLbls>
        <c:gapWidth val="0"/>
        <c:overlap val="100"/>
        <c:axId val="1665122640"/>
        <c:axId val="1353258800"/>
      </c:barChart>
      <c:catAx>
        <c:axId val="166512264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58800"/>
        <c:crosses val="autoZero"/>
        <c:auto val="1"/>
        <c:lblAlgn val="ctr"/>
        <c:lblOffset val="100"/>
        <c:noMultiLvlLbl val="0"/>
      </c:catAx>
      <c:valAx>
        <c:axId val="1353258800"/>
        <c:scaling>
          <c:orientation val="minMax"/>
        </c:scaling>
        <c:delete val="0"/>
        <c:axPos val="l"/>
        <c:majorGridlines>
          <c:spPr>
            <a:ln w="9525" cap="flat" cmpd="sng" algn="ctr">
              <a:solidFill>
                <a:schemeClr val="tx1">
                  <a:lumMod val="15000"/>
                  <a:lumOff val="85000"/>
                </a:schemeClr>
              </a:solidFill>
              <a:round/>
            </a:ln>
            <a:effectLst/>
          </c:spPr>
        </c:majorGridlines>
        <c:numFmt formatCode="_-* #,##0_-;\(#,##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122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'UCAN Forecasts'!$B$1</c:f>
              <c:strCache>
                <c:ptCount val="1"/>
                <c:pt idx="0">
                  <c:v>Values</c:v>
                </c:pt>
              </c:strCache>
            </c:strRef>
          </c:tx>
          <c:spPr>
            <a:ln w="28575" cap="rnd">
              <a:solidFill>
                <a:schemeClr val="accent1"/>
              </a:solidFill>
              <a:round/>
            </a:ln>
            <a:effectLst/>
          </c:spPr>
          <c:marker>
            <c:symbol val="none"/>
          </c:marker>
          <c:val>
            <c:numRef>
              <c:f>'UCAN Forecasts'!$B$2:$B$13</c:f>
              <c:numCache>
                <c:formatCode>_-* #,##0_-;\(#,##0\)_-;_-* "-"_-;_-@_-</c:formatCode>
                <c:ptCount val="12"/>
                <c:pt idx="0">
                  <c:v>6660.8590000000004</c:v>
                </c:pt>
                <c:pt idx="1">
                  <c:v>8281.5319999999992</c:v>
                </c:pt>
                <c:pt idx="2">
                  <c:v>10051.208000000001</c:v>
                </c:pt>
                <c:pt idx="3">
                  <c:v>11455.396000000001</c:v>
                </c:pt>
                <c:pt idx="4">
                  <c:v>12972.1</c:v>
                </c:pt>
              </c:numCache>
            </c:numRef>
          </c:val>
          <c:smooth val="0"/>
          <c:extLst>
            <c:ext xmlns:c16="http://schemas.microsoft.com/office/drawing/2014/chart" uri="{C3380CC4-5D6E-409C-BE32-E72D297353CC}">
              <c16:uniqueId val="{00000000-5298-4003-9F54-39C3500127D2}"/>
            </c:ext>
          </c:extLst>
        </c:ser>
        <c:ser>
          <c:idx val="1"/>
          <c:order val="1"/>
          <c:tx>
            <c:strRef>
              <c:f>'UCAN Forecasts'!$C$1</c:f>
              <c:strCache>
                <c:ptCount val="1"/>
                <c:pt idx="0">
                  <c:v>Forecast</c:v>
                </c:pt>
              </c:strCache>
            </c:strRef>
          </c:tx>
          <c:spPr>
            <a:ln w="25400" cap="rnd">
              <a:solidFill>
                <a:schemeClr val="accent2"/>
              </a:solidFill>
              <a:round/>
            </a:ln>
            <a:effectLst/>
          </c:spPr>
          <c:marker>
            <c:symbol val="none"/>
          </c:marker>
          <c:cat>
            <c:numRef>
              <c:f>'UCAN Forecasts'!$A$2:$A$13</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'UCAN Forecasts'!$C$2:$C$13</c:f>
              <c:numCache>
                <c:formatCode>General</c:formatCode>
                <c:ptCount val="12"/>
                <c:pt idx="4" formatCode="_-* #,##0_-;\(#,##0\)_-;_-* &quot;-&quot;_-;_-@_-">
                  <c:v>12972.1</c:v>
                </c:pt>
                <c:pt idx="5" formatCode="_-* #,##0_-;\(#,##0\)_-;_-* &quot;-&quot;_-;_-@_-">
                  <c:v>14579.139602131187</c:v>
                </c:pt>
                <c:pt idx="6" formatCode="_-* #,##0_-;\(#,##0\)_-;_-* &quot;-&quot;_-;_-@_-">
                  <c:v>16150.507923657378</c:v>
                </c:pt>
                <c:pt idx="7" formatCode="_-* #,##0_-;\(#,##0\)_-;_-* &quot;-&quot;_-;_-@_-">
                  <c:v>17721.876245183568</c:v>
                </c:pt>
                <c:pt idx="8" formatCode="_-* #,##0_-;\(#,##0\)_-;_-* &quot;-&quot;_-;_-@_-">
                  <c:v>19293.24456670976</c:v>
                </c:pt>
                <c:pt idx="9" formatCode="_-* #,##0_-;\(#,##0\)_-;_-* &quot;-&quot;_-;_-@_-">
                  <c:v>20864.612888235948</c:v>
                </c:pt>
                <c:pt idx="10" formatCode="_-* #,##0_-;\(#,##0\)_-;_-* &quot;-&quot;_-;_-@_-">
                  <c:v>22435.98120976214</c:v>
                </c:pt>
                <c:pt idx="11" formatCode="_-* #,##0_-;\(#,##0\)_-;_-* &quot;-&quot;_-;_-@_-">
                  <c:v>24007.349531288331</c:v>
                </c:pt>
              </c:numCache>
            </c:numRef>
          </c:val>
          <c:smooth val="0"/>
          <c:extLst>
            <c:ext xmlns:c16="http://schemas.microsoft.com/office/drawing/2014/chart" uri="{C3380CC4-5D6E-409C-BE32-E72D297353CC}">
              <c16:uniqueId val="{00000001-5298-4003-9F54-39C3500127D2}"/>
            </c:ext>
          </c:extLst>
        </c:ser>
        <c:ser>
          <c:idx val="2"/>
          <c:order val="2"/>
          <c:tx>
            <c:strRef>
              <c:f>'UCAN Forecasts'!$D$1</c:f>
              <c:strCache>
                <c:ptCount val="1"/>
                <c:pt idx="0">
                  <c:v>Lower Confidence Bound</c:v>
                </c:pt>
              </c:strCache>
            </c:strRef>
          </c:tx>
          <c:spPr>
            <a:ln w="12700" cap="rnd">
              <a:solidFill>
                <a:srgbClr val="ED7D31"/>
              </a:solidFill>
              <a:prstDash val="solid"/>
              <a:round/>
            </a:ln>
            <a:effectLst/>
          </c:spPr>
          <c:marker>
            <c:symbol val="none"/>
          </c:marker>
          <c:cat>
            <c:numRef>
              <c:f>'UCAN Forecasts'!$A$2:$A$13</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'UCAN Forecasts'!$D$2:$D$13</c:f>
              <c:numCache>
                <c:formatCode>General</c:formatCode>
                <c:ptCount val="12"/>
                <c:pt idx="4" formatCode="_-* #,##0_-;\(#,##0\)_-;_-* &quot;-&quot;_-;_-@_-">
                  <c:v>12972.1</c:v>
                </c:pt>
                <c:pt idx="5" formatCode="_-* #,##0_-;\(#,##0\)_-;_-* &quot;-&quot;_-;_-@_-">
                  <c:v>14296.153654672478</c:v>
                </c:pt>
                <c:pt idx="6" formatCode="_-* #,##0_-;\(#,##0\)_-;_-* &quot;-&quot;_-;_-@_-">
                  <c:v>15858.74392233598</c:v>
                </c:pt>
                <c:pt idx="7" formatCode="_-* #,##0_-;\(#,##0\)_-;_-* &quot;-&quot;_-;_-@_-">
                  <c:v>17421.523620354998</c:v>
                </c:pt>
                <c:pt idx="8" formatCode="_-* #,##0_-;\(#,##0\)_-;_-* &quot;-&quot;_-;_-@_-">
                  <c:v>18984.47668148817</c:v>
                </c:pt>
                <c:pt idx="9" formatCode="_-* #,##0_-;\(#,##0\)_-;_-* &quot;-&quot;_-;_-@_-">
                  <c:v>20547.589047275102</c:v>
                </c:pt>
                <c:pt idx="10" formatCode="_-* #,##0_-;\(#,##0\)_-;_-* &quot;-&quot;_-;_-@_-">
                  <c:v>22110.848335718969</c:v>
                </c:pt>
                <c:pt idx="11" formatCode="_-* #,##0_-;\(#,##0\)_-;_-* &quot;-&quot;_-;_-@_-">
                  <c:v>23674.243576306566</c:v>
                </c:pt>
              </c:numCache>
            </c:numRef>
          </c:val>
          <c:smooth val="0"/>
          <c:extLst>
            <c:ext xmlns:c16="http://schemas.microsoft.com/office/drawing/2014/chart" uri="{C3380CC4-5D6E-409C-BE32-E72D297353CC}">
              <c16:uniqueId val="{00000002-5298-4003-9F54-39C3500127D2}"/>
            </c:ext>
          </c:extLst>
        </c:ser>
        <c:ser>
          <c:idx val="3"/>
          <c:order val="3"/>
          <c:tx>
            <c:strRef>
              <c:f>'UCAN Forecasts'!$E$1</c:f>
              <c:strCache>
                <c:ptCount val="1"/>
                <c:pt idx="0">
                  <c:v>Upper Confidence Bound</c:v>
                </c:pt>
              </c:strCache>
            </c:strRef>
          </c:tx>
          <c:spPr>
            <a:ln w="12700" cap="rnd">
              <a:solidFill>
                <a:srgbClr val="ED7D31"/>
              </a:solidFill>
              <a:prstDash val="solid"/>
              <a:round/>
            </a:ln>
            <a:effectLst/>
          </c:spPr>
          <c:marker>
            <c:symbol val="none"/>
          </c:marker>
          <c:cat>
            <c:numRef>
              <c:f>'UCAN Forecasts'!$A$2:$A$13</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'UCAN Forecasts'!$E$2:$E$13</c:f>
              <c:numCache>
                <c:formatCode>General</c:formatCode>
                <c:ptCount val="12"/>
                <c:pt idx="4" formatCode="_-* #,##0_-;\(#,##0\)_-;_-* &quot;-&quot;_-;_-@_-">
                  <c:v>12972.1</c:v>
                </c:pt>
                <c:pt idx="5" formatCode="_-* #,##0_-;\(#,##0\)_-;_-* &quot;-&quot;_-;_-@_-">
                  <c:v>14862.125549589895</c:v>
                </c:pt>
                <c:pt idx="6" formatCode="_-* #,##0_-;\(#,##0\)_-;_-* &quot;-&quot;_-;_-@_-">
                  <c:v>16442.271924978777</c:v>
                </c:pt>
                <c:pt idx="7" formatCode="_-* #,##0_-;\(#,##0\)_-;_-* &quot;-&quot;_-;_-@_-">
                  <c:v>18022.228870012139</c:v>
                </c:pt>
                <c:pt idx="8" formatCode="_-* #,##0_-;\(#,##0\)_-;_-* &quot;-&quot;_-;_-@_-">
                  <c:v>19602.01245193135</c:v>
                </c:pt>
                <c:pt idx="9" formatCode="_-* #,##0_-;\(#,##0\)_-;_-* &quot;-&quot;_-;_-@_-">
                  <c:v>21181.636729196794</c:v>
                </c:pt>
                <c:pt idx="10" formatCode="_-* #,##0_-;\(#,##0\)_-;_-* &quot;-&quot;_-;_-@_-">
                  <c:v>22761.114083805311</c:v>
                </c:pt>
                <c:pt idx="11" formatCode="_-* #,##0_-;\(#,##0\)_-;_-* &quot;-&quot;_-;_-@_-">
                  <c:v>24340.455486270097</c:v>
                </c:pt>
              </c:numCache>
            </c:numRef>
          </c:val>
          <c:smooth val="0"/>
          <c:extLst>
            <c:ext xmlns:c16="http://schemas.microsoft.com/office/drawing/2014/chart" uri="{C3380CC4-5D6E-409C-BE32-E72D297353CC}">
              <c16:uniqueId val="{00000003-5298-4003-9F54-39C3500127D2}"/>
            </c:ext>
          </c:extLst>
        </c:ser>
        <c:dLbls>
          <c:showLegendKey val="0"/>
          <c:showVal val="0"/>
          <c:showCatName val="0"/>
          <c:showSerName val="0"/>
          <c:showPercent val="0"/>
          <c:showBubbleSize val="0"/>
        </c:dLbls>
        <c:smooth val="0"/>
        <c:axId val="1422695200"/>
        <c:axId val="1353257552"/>
      </c:lineChart>
      <c:catAx>
        <c:axId val="142269520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57552"/>
        <c:crosses val="autoZero"/>
        <c:auto val="1"/>
        <c:lblAlgn val="ctr"/>
        <c:lblOffset val="100"/>
        <c:noMultiLvlLbl val="0"/>
      </c:catAx>
      <c:valAx>
        <c:axId val="1353257552"/>
        <c:scaling>
          <c:orientation val="minMax"/>
        </c:scaling>
        <c:delete val="0"/>
        <c:axPos val="l"/>
        <c:majorGridlines>
          <c:spPr>
            <a:ln w="9525" cap="flat" cmpd="sng" algn="ctr">
              <a:solidFill>
                <a:schemeClr val="tx1">
                  <a:lumMod val="15000"/>
                  <a:lumOff val="85000"/>
                </a:schemeClr>
              </a:solidFill>
              <a:round/>
            </a:ln>
            <a:effectLst/>
          </c:spPr>
        </c:majorGridlines>
        <c:numFmt formatCode="_-* #,##0_-;\(#,##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695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'Capex Forecasts'!$B$1</c:f>
              <c:strCache>
                <c:ptCount val="1"/>
                <c:pt idx="0">
                  <c:v>Values</c:v>
                </c:pt>
              </c:strCache>
            </c:strRef>
          </c:tx>
          <c:spPr>
            <a:solidFill>
              <a:schemeClr val="accent1"/>
            </a:solidFill>
            <a:ln w="12700">
              <a:solidFill>
                <a:srgbClr val="FFFFFF"/>
              </a:solidFill>
              <a:prstDash val="solid"/>
            </a:ln>
            <a:effectLst/>
          </c:spPr>
          <c:invertIfNegative val="0"/>
          <c:val>
            <c:numRef>
              <c:f>'Capex Forecasts'!$B$2:$B$13</c:f>
              <c:numCache>
                <c:formatCode>_-* #,##0_-;\(#,##0\)_-;_-* "-"_-;_-@_-</c:formatCode>
                <c:ptCount val="12"/>
                <c:pt idx="0">
                  <c:v>10032.295</c:v>
                </c:pt>
                <c:pt idx="1">
                  <c:v>13147.639000000001</c:v>
                </c:pt>
                <c:pt idx="2">
                  <c:v>13869.239999999998</c:v>
                </c:pt>
                <c:pt idx="3">
                  <c:v>12197.383000000002</c:v>
                </c:pt>
                <c:pt idx="4">
                  <c:v>18337.589</c:v>
                </c:pt>
              </c:numCache>
            </c:numRef>
          </c:val>
          <c:extLst>
            <c:ext xmlns:c16="http://schemas.microsoft.com/office/drawing/2014/chart" uri="{C3380CC4-5D6E-409C-BE32-E72D297353CC}">
              <c16:uniqueId val="{00000000-D901-4535-94F6-F983D80F01A1}"/>
            </c:ext>
          </c:extLst>
        </c:ser>
        <c:ser>
          <c:idx val="1"/>
          <c:order val="1"/>
          <c:tx>
            <c:strRef>
              <c:f>'Capex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'Capex Forecasts'!$D$2:$D$13</c:f>
                <c:numCache>
                  <c:formatCode>General</c:formatCode>
                  <c:ptCount val="12"/>
                  <c:pt idx="5">
                    <c:v>6114.2566408741141</c:v>
                  </c:pt>
                  <c:pt idx="6">
                    <c:v>6163.3678270992123</c:v>
                  </c:pt>
                  <c:pt idx="7">
                    <c:v>6213.6311727134726</c:v>
                  </c:pt>
                  <c:pt idx="8">
                    <c:v>6263.4911773635913</c:v>
                  </c:pt>
                  <c:pt idx="9">
                    <c:v>6314.4968807599516</c:v>
                  </c:pt>
                  <c:pt idx="10">
                    <c:v>6365.0938708979575</c:v>
                  </c:pt>
                  <c:pt idx="11">
                    <c:v>6416.8300535742055</c:v>
                  </c:pt>
                </c:numCache>
              </c:numRef>
            </c:plus>
            <c:minus>
              <c:numRef>
                <c:f>'Capex Forecasts'!$D$2:$D$13</c:f>
                <c:numCache>
                  <c:formatCode>General</c:formatCode>
                  <c:ptCount val="12"/>
                  <c:pt idx="5">
                    <c:v>6114.2566408741141</c:v>
                  </c:pt>
                  <c:pt idx="6">
                    <c:v>6163.3678270992123</c:v>
                  </c:pt>
                  <c:pt idx="7">
                    <c:v>6213.6311727134726</c:v>
                  </c:pt>
                  <c:pt idx="8">
                    <c:v>6263.4911773635913</c:v>
                  </c:pt>
                  <c:pt idx="9">
                    <c:v>6314.4968807599516</c:v>
                  </c:pt>
                  <c:pt idx="10">
                    <c:v>6365.0938708979575</c:v>
                  </c:pt>
                  <c:pt idx="11">
                    <c:v>6416.8300535742055</c:v>
                  </c:pt>
                </c:numCache>
              </c:numRef>
            </c:minus>
            <c:spPr>
              <a:noFill/>
              <a:ln w="9525" cap="flat" cmpd="sng" algn="ctr">
                <a:solidFill>
                  <a:srgbClr val="595959">
                    <a:alpha val="40392"/>
                  </a:srgbClr>
                </a:solidFill>
                <a:prstDash val="solid"/>
                <a:round/>
              </a:ln>
              <a:effectLst/>
            </c:spPr>
          </c:errBars>
          <c:cat>
            <c:numRef>
              <c:f>'Capex Forecasts'!$A$2:$A$13</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'Capex Forecasts'!$C$2:$C$13</c:f>
              <c:numCache>
                <c:formatCode>General</c:formatCode>
                <c:ptCount val="12"/>
                <c:pt idx="5" formatCode="_-* #,##0_-;\(#,##0\)_-;_-* &quot;-&quot;_-;_-@_-">
                  <c:v>15922.245670974962</c:v>
                </c:pt>
                <c:pt idx="6" formatCode="_-* #,##0_-;\(#,##0\)_-;_-* &quot;-&quot;_-;_-@_-">
                  <c:v>16278.758391267829</c:v>
                </c:pt>
                <c:pt idx="7" formatCode="_-* #,##0_-;\(#,##0\)_-;_-* &quot;-&quot;_-;_-@_-">
                  <c:v>17740.974876205571</c:v>
                </c:pt>
                <c:pt idx="8" formatCode="_-* #,##0_-;\(#,##0\)_-;_-* &quot;-&quot;_-;_-@_-">
                  <c:v>18097.487596498442</c:v>
                </c:pt>
                <c:pt idx="9" formatCode="_-* #,##0_-;\(#,##0\)_-;_-* &quot;-&quot;_-;_-@_-">
                  <c:v>19559.704081436183</c:v>
                </c:pt>
                <c:pt idx="10" formatCode="_-* #,##0_-;\(#,##0\)_-;_-* &quot;-&quot;_-;_-@_-">
                  <c:v>19916.216801729053</c:v>
                </c:pt>
                <c:pt idx="11" formatCode="_-* #,##0_-;\(#,##0\)_-;_-* &quot;-&quot;_-;_-@_-">
                  <c:v>21378.433286666794</c:v>
                </c:pt>
              </c:numCache>
            </c:numRef>
          </c:val>
          <c:extLst>
            <c:ext xmlns:c16="http://schemas.microsoft.com/office/drawing/2014/chart" uri="{C3380CC4-5D6E-409C-BE32-E72D297353CC}">
              <c16:uniqueId val="{00000001-D901-4535-94F6-F983D80F01A1}"/>
            </c:ext>
          </c:extLst>
        </c:ser>
        <c:dLbls>
          <c:showLegendKey val="0"/>
          <c:showVal val="0"/>
          <c:showCatName val="0"/>
          <c:showSerName val="0"/>
          <c:showPercent val="0"/>
          <c:showBubbleSize val="0"/>
        </c:dLbls>
        <c:gapWidth val="0"/>
        <c:overlap val="100"/>
        <c:axId val="1445443264"/>
        <c:axId val="1562976240"/>
      </c:barChart>
      <c:catAx>
        <c:axId val="144544326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976240"/>
        <c:crosses val="autoZero"/>
        <c:auto val="1"/>
        <c:lblAlgn val="ctr"/>
        <c:lblOffset val="100"/>
        <c:noMultiLvlLbl val="0"/>
      </c:catAx>
      <c:valAx>
        <c:axId val="1562976240"/>
        <c:scaling>
          <c:orientation val="minMax"/>
        </c:scaling>
        <c:delete val="0"/>
        <c:axPos val="l"/>
        <c:majorGridlines>
          <c:spPr>
            <a:ln w="9525" cap="flat" cmpd="sng" algn="ctr">
              <a:solidFill>
                <a:schemeClr val="tx1">
                  <a:lumMod val="15000"/>
                  <a:lumOff val="85000"/>
                </a:schemeClr>
              </a:solidFill>
              <a:round/>
            </a:ln>
            <a:effectLst/>
          </c:spPr>
        </c:majorGridlines>
        <c:numFmt formatCode="_-* #,##0_-;\(#,##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5443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'PP&amp;E Forecasts'!$B$1</c:f>
              <c:strCache>
                <c:ptCount val="1"/>
                <c:pt idx="0">
                  <c:v>Values</c:v>
                </c:pt>
              </c:strCache>
            </c:strRef>
          </c:tx>
          <c:spPr>
            <a:solidFill>
              <a:schemeClr val="accent1"/>
            </a:solidFill>
            <a:ln w="12700">
              <a:solidFill>
                <a:srgbClr val="FFFFFF"/>
              </a:solidFill>
              <a:prstDash val="solid"/>
            </a:ln>
            <a:effectLst/>
          </c:spPr>
          <c:invertIfNegative val="0"/>
          <c:val>
            <c:numRef>
              <c:f>'PP&amp;E Forecasts'!$B$2:$B$14</c:f>
              <c:numCache>
                <c:formatCode>_-* #,##0_-;\-* #,##0_-;_-* "-"??_-;_-@_-</c:formatCode>
                <c:ptCount val="13"/>
                <c:pt idx="0">
                  <c:v>250</c:v>
                </c:pt>
                <c:pt idx="1">
                  <c:v>319</c:v>
                </c:pt>
                <c:pt idx="2">
                  <c:v>418</c:v>
                </c:pt>
                <c:pt idx="3">
                  <c:v>565</c:v>
                </c:pt>
                <c:pt idx="4">
                  <c:v>960</c:v>
                </c:pt>
                <c:pt idx="5">
                  <c:v>1323</c:v>
                </c:pt>
              </c:numCache>
            </c:numRef>
          </c:val>
          <c:extLst>
            <c:ext xmlns:c16="http://schemas.microsoft.com/office/drawing/2014/chart" uri="{C3380CC4-5D6E-409C-BE32-E72D297353CC}">
              <c16:uniqueId val="{00000000-1CDA-405E-A0D3-BD5C26D00731}"/>
            </c:ext>
          </c:extLst>
        </c:ser>
        <c:ser>
          <c:idx val="1"/>
          <c:order val="1"/>
          <c:tx>
            <c:strRef>
              <c:f>'PP&amp;E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'PP&amp;E Forecasts'!$D$2:$D$14</c:f>
                <c:numCache>
                  <c:formatCode>General</c:formatCode>
                  <c:ptCount val="13"/>
                  <c:pt idx="6">
                    <c:v>337.43324643667563</c:v>
                  </c:pt>
                  <c:pt idx="7">
                    <c:v>454.1958040460907</c:v>
                  </c:pt>
                  <c:pt idx="8">
                    <c:v>546.74651600296863</c:v>
                  </c:pt>
                  <c:pt idx="9">
                    <c:v>625.91948089839332</c:v>
                  </c:pt>
                  <c:pt idx="10">
                    <c:v>696.29332005675315</c:v>
                  </c:pt>
                  <c:pt idx="11">
                    <c:v>760.31543023037602</c:v>
                  </c:pt>
                  <c:pt idx="12">
                    <c:v>819.47600450699133</c:v>
                  </c:pt>
                </c:numCache>
              </c:numRef>
            </c:plus>
            <c:minus>
              <c:numRef>
                <c:f>'PP&amp;E Forecasts'!$D$2:$D$14</c:f>
                <c:numCache>
                  <c:formatCode>General</c:formatCode>
                  <c:ptCount val="13"/>
                  <c:pt idx="6">
                    <c:v>337.43324643667563</c:v>
                  </c:pt>
                  <c:pt idx="7">
                    <c:v>454.1958040460907</c:v>
                  </c:pt>
                  <c:pt idx="8">
                    <c:v>546.74651600296863</c:v>
                  </c:pt>
                  <c:pt idx="9">
                    <c:v>625.91948089839332</c:v>
                  </c:pt>
                  <c:pt idx="10">
                    <c:v>696.29332005675315</c:v>
                  </c:pt>
                  <c:pt idx="11">
                    <c:v>760.31543023037602</c:v>
                  </c:pt>
                  <c:pt idx="12">
                    <c:v>819.47600450699133</c:v>
                  </c:pt>
                </c:numCache>
              </c:numRef>
            </c:minus>
            <c:spPr>
              <a:noFill/>
              <a:ln w="9525" cap="flat" cmpd="sng" algn="ctr">
                <a:solidFill>
                  <a:srgbClr val="595959">
                    <a:alpha val="40392"/>
                  </a:srgbClr>
                </a:solidFill>
                <a:prstDash val="solid"/>
                <a:round/>
              </a:ln>
              <a:effectLst/>
            </c:spPr>
          </c:errBars>
          <c:cat>
            <c:numRef>
              <c:f>'PP&amp;E Forecasts'!$A$2:$A$14</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'PP&amp;E Forecasts'!$C$2:$C$14</c:f>
              <c:numCache>
                <c:formatCode>General</c:formatCode>
                <c:ptCount val="13"/>
                <c:pt idx="6" formatCode="_-* #,##0_-;\-* #,##0_-;_-* &quot;-&quot;??_-;_-@_-">
                  <c:v>1535.4010775691258</c:v>
                </c:pt>
                <c:pt idx="7" formatCode="_-* #,##0_-;\-* #,##0_-;_-* &quot;-&quot;??_-;_-@_-">
                  <c:v>1762.945721684463</c:v>
                </c:pt>
                <c:pt idx="8" formatCode="_-* #,##0_-;\-* #,##0_-;_-* &quot;-&quot;??_-;_-@_-">
                  <c:v>1990.4903657998002</c:v>
                </c:pt>
                <c:pt idx="9" formatCode="_-* #,##0_-;\-* #,##0_-;_-* &quot;-&quot;??_-;_-@_-">
                  <c:v>2218.0350099151374</c:v>
                </c:pt>
                <c:pt idx="10" formatCode="_-* #,##0_-;\-* #,##0_-;_-* &quot;-&quot;??_-;_-@_-">
                  <c:v>2445.5796540304746</c:v>
                </c:pt>
                <c:pt idx="11" formatCode="_-* #,##0_-;\-* #,##0_-;_-* &quot;-&quot;??_-;_-@_-">
                  <c:v>2673.1242981458113</c:v>
                </c:pt>
                <c:pt idx="12" formatCode="_-* #,##0_-;\-* #,##0_-;_-* &quot;-&quot;??_-;_-@_-">
                  <c:v>2900.668942261148</c:v>
                </c:pt>
              </c:numCache>
            </c:numRef>
          </c:val>
          <c:extLst>
            <c:ext xmlns:c16="http://schemas.microsoft.com/office/drawing/2014/chart" uri="{C3380CC4-5D6E-409C-BE32-E72D297353CC}">
              <c16:uniqueId val="{00000001-1CDA-405E-A0D3-BD5C26D00731}"/>
            </c:ext>
          </c:extLst>
        </c:ser>
        <c:dLbls>
          <c:showLegendKey val="0"/>
          <c:showVal val="0"/>
          <c:showCatName val="0"/>
          <c:showSerName val="0"/>
          <c:showPercent val="0"/>
          <c:showBubbleSize val="0"/>
        </c:dLbls>
        <c:gapWidth val="0"/>
        <c:overlap val="100"/>
        <c:axId val="1930979488"/>
        <c:axId val="1353255472"/>
      </c:barChart>
      <c:catAx>
        <c:axId val="193097948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55472"/>
        <c:crosses val="autoZero"/>
        <c:auto val="1"/>
        <c:lblAlgn val="ctr"/>
        <c:lblOffset val="100"/>
        <c:noMultiLvlLbl val="0"/>
      </c:catAx>
      <c:valAx>
        <c:axId val="135325547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979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'Content Assets Forecast'!$B$1</c:f>
              <c:strCache>
                <c:ptCount val="1"/>
                <c:pt idx="0">
                  <c:v>Values</c:v>
                </c:pt>
              </c:strCache>
            </c:strRef>
          </c:tx>
          <c:spPr>
            <a:solidFill>
              <a:schemeClr val="accent1"/>
            </a:solidFill>
            <a:ln w="12700">
              <a:solidFill>
                <a:srgbClr val="FFFFFF"/>
              </a:solidFill>
              <a:prstDash val="solid"/>
            </a:ln>
            <a:effectLst/>
          </c:spPr>
          <c:invertIfNegative val="0"/>
          <c:val>
            <c:numRef>
              <c:f>'Content Assets Forecast'!$B$2:$B$14</c:f>
              <c:numCache>
                <c:formatCode>_-* #,##0_-;\-* #,##0_-;_-* "-"??_-;_-@_-</c:formatCode>
                <c:ptCount val="13"/>
                <c:pt idx="0">
                  <c:v>10975.393</c:v>
                </c:pt>
                <c:pt idx="1">
                  <c:v>14668.688</c:v>
                </c:pt>
                <c:pt idx="2">
                  <c:v>20102.327000000001</c:v>
                </c:pt>
                <c:pt idx="3">
                  <c:v>24504.566999999999</c:v>
                </c:pt>
                <c:pt idx="4">
                  <c:v>25383.95</c:v>
                </c:pt>
                <c:pt idx="5">
                  <c:v>30919.539000000001</c:v>
                </c:pt>
              </c:numCache>
            </c:numRef>
          </c:val>
          <c:extLst>
            <c:ext xmlns:c16="http://schemas.microsoft.com/office/drawing/2014/chart" uri="{C3380CC4-5D6E-409C-BE32-E72D297353CC}">
              <c16:uniqueId val="{00000000-1135-4A40-AF47-017C3DFF72EF}"/>
            </c:ext>
          </c:extLst>
        </c:ser>
        <c:ser>
          <c:idx val="1"/>
          <c:order val="1"/>
          <c:tx>
            <c:strRef>
              <c:f>'Content Assets Forecast'!$C$1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'Content Assets Forecast'!$D$2:$D$14</c:f>
                <c:numCache>
                  <c:formatCode>General</c:formatCode>
                  <c:ptCount val="13"/>
                  <c:pt idx="6">
                    <c:v>2860.4761336889783</c:v>
                  </c:pt>
                  <c:pt idx="7">
                    <c:v>2860.4890058026176</c:v>
                  </c:pt>
                  <c:pt idx="8">
                    <c:v>2860.5118894171774</c:v>
                  </c:pt>
                  <c:pt idx="9">
                    <c:v>2860.5476446984449</c:v>
                  </c:pt>
                  <c:pt idx="10">
                    <c:v>2860.5991315183305</c:v>
                  </c:pt>
                  <c:pt idx="11">
                    <c:v>2860.66920931192</c:v>
                  </c:pt>
                  <c:pt idx="12">
                    <c:v>2860.7607369059751</c:v>
                  </c:pt>
                </c:numCache>
              </c:numRef>
            </c:plus>
            <c:minus>
              <c:numRef>
                <c:f>'Content Assets Forecast'!$D$2:$D$14</c:f>
                <c:numCache>
                  <c:formatCode>General</c:formatCode>
                  <c:ptCount val="13"/>
                  <c:pt idx="6">
                    <c:v>2860.4761336889783</c:v>
                  </c:pt>
                  <c:pt idx="7">
                    <c:v>2860.4890058026176</c:v>
                  </c:pt>
                  <c:pt idx="8">
                    <c:v>2860.5118894171774</c:v>
                  </c:pt>
                  <c:pt idx="9">
                    <c:v>2860.5476446984449</c:v>
                  </c:pt>
                  <c:pt idx="10">
                    <c:v>2860.5991315183305</c:v>
                  </c:pt>
                  <c:pt idx="11">
                    <c:v>2860.66920931192</c:v>
                  </c:pt>
                  <c:pt idx="12">
                    <c:v>2860.7607369059751</c:v>
                  </c:pt>
                </c:numCache>
              </c:numRef>
            </c:minus>
            <c:spPr>
              <a:noFill/>
              <a:ln w="9525" cap="flat" cmpd="sng" algn="ctr">
                <a:solidFill>
                  <a:srgbClr val="595959">
                    <a:alpha val="40392"/>
                  </a:srgbClr>
                </a:solidFill>
                <a:prstDash val="solid"/>
                <a:round/>
              </a:ln>
              <a:effectLst/>
            </c:spPr>
          </c:errBars>
          <c:cat>
            <c:numRef>
              <c:f>'Content Assets Forecast'!$A$2:$A$14</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'Content Assets Forecast'!$C$2:$C$14</c:f>
              <c:numCache>
                <c:formatCode>General</c:formatCode>
                <c:ptCount val="13"/>
                <c:pt idx="6" formatCode="_-* #,##0_-;\-* #,##0_-;_-* &quot;-&quot;??_-;_-@_-">
                  <c:v>34104.429092722661</c:v>
                </c:pt>
                <c:pt idx="7" formatCode="_-* #,##0_-;\-* #,##0_-;_-* &quot;-&quot;??_-;_-@_-">
                  <c:v>37959.621723836768</c:v>
                </c:pt>
                <c:pt idx="8" formatCode="_-* #,##0_-;\-* #,##0_-;_-* &quot;-&quot;??_-;_-@_-">
                  <c:v>41814.814354950882</c:v>
                </c:pt>
                <c:pt idx="9" formatCode="_-* #,##0_-;\-* #,##0_-;_-* &quot;-&quot;??_-;_-@_-">
                  <c:v>45670.006986064989</c:v>
                </c:pt>
                <c:pt idx="10" formatCode="_-* #,##0_-;\-* #,##0_-;_-* &quot;-&quot;??_-;_-@_-">
                  <c:v>49525.199617179096</c:v>
                </c:pt>
                <c:pt idx="11" formatCode="_-* #,##0_-;\-* #,##0_-;_-* &quot;-&quot;??_-;_-@_-">
                  <c:v>53380.39224829321</c:v>
                </c:pt>
                <c:pt idx="12" formatCode="_-* #,##0_-;\-* #,##0_-;_-* &quot;-&quot;??_-;_-@_-">
                  <c:v>57235.584879407324</c:v>
                </c:pt>
              </c:numCache>
            </c:numRef>
          </c:val>
          <c:extLst>
            <c:ext xmlns:c16="http://schemas.microsoft.com/office/drawing/2014/chart" uri="{C3380CC4-5D6E-409C-BE32-E72D297353CC}">
              <c16:uniqueId val="{00000001-1135-4A40-AF47-017C3DFF72EF}"/>
            </c:ext>
          </c:extLst>
        </c:ser>
        <c:dLbls>
          <c:showLegendKey val="0"/>
          <c:showVal val="0"/>
          <c:showCatName val="0"/>
          <c:showSerName val="0"/>
          <c:showPercent val="0"/>
          <c:showBubbleSize val="0"/>
        </c:dLbls>
        <c:gapWidth val="0"/>
        <c:overlap val="100"/>
        <c:axId val="1446861520"/>
        <c:axId val="1353263792"/>
      </c:barChart>
      <c:catAx>
        <c:axId val="14468615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63792"/>
        <c:crosses val="autoZero"/>
        <c:auto val="1"/>
        <c:lblAlgn val="ctr"/>
        <c:lblOffset val="100"/>
        <c:noMultiLvlLbl val="0"/>
      </c:catAx>
      <c:valAx>
        <c:axId val="135326379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861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'D&amp;A Forecasts'!$B$1</c:f>
              <c:strCache>
                <c:ptCount val="1"/>
                <c:pt idx="0">
                  <c:v>Values</c:v>
                </c:pt>
              </c:strCache>
            </c:strRef>
          </c:tx>
          <c:spPr>
            <a:solidFill>
              <a:schemeClr val="accent1"/>
            </a:solidFill>
            <a:ln w="12700">
              <a:solidFill>
                <a:srgbClr val="FFFFFF"/>
              </a:solidFill>
              <a:prstDash val="solid"/>
            </a:ln>
            <a:effectLst/>
          </c:spPr>
          <c:invertIfNegative val="0"/>
          <c:val>
            <c:numRef>
              <c:f>'D&amp;A Forecasts'!$B$2:$B$14</c:f>
              <c:numCache>
                <c:formatCode>_-* #,##0_-;\-* #,##0_-;_-* "-"??_-;_-@_-</c:formatCode>
                <c:ptCount val="13"/>
                <c:pt idx="0">
                  <c:v>4925</c:v>
                </c:pt>
                <c:pt idx="1">
                  <c:v>6270</c:v>
                </c:pt>
                <c:pt idx="2">
                  <c:v>7615</c:v>
                </c:pt>
                <c:pt idx="3">
                  <c:v>9320</c:v>
                </c:pt>
                <c:pt idx="4">
                  <c:v>10923</c:v>
                </c:pt>
                <c:pt idx="5">
                  <c:v>12439</c:v>
                </c:pt>
              </c:numCache>
            </c:numRef>
          </c:val>
          <c:extLst>
            <c:ext xmlns:c16="http://schemas.microsoft.com/office/drawing/2014/chart" uri="{C3380CC4-5D6E-409C-BE32-E72D297353CC}">
              <c16:uniqueId val="{00000000-3BEC-4F10-8F12-AC4CE8959463}"/>
            </c:ext>
          </c:extLst>
        </c:ser>
        <c:ser>
          <c:idx val="1"/>
          <c:order val="1"/>
          <c:tx>
            <c:strRef>
              <c:f>'D&amp;A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'D&amp;A Forecasts'!$D$2:$D$14</c:f>
                <c:numCache>
                  <c:formatCode>General</c:formatCode>
                  <c:ptCount val="13"/>
                  <c:pt idx="6">
                    <c:v>348.20208239337438</c:v>
                  </c:pt>
                  <c:pt idx="7">
                    <c:v>468.69099726621442</c:v>
                  </c:pt>
                  <c:pt idx="8">
                    <c:v>564.1953702664664</c:v>
                  </c:pt>
                  <c:pt idx="9">
                    <c:v>645.89505912927689</c:v>
                  </c:pt>
                  <c:pt idx="10">
                    <c:v>718.51480718233631</c:v>
                  </c:pt>
                  <c:pt idx="11">
                    <c:v>784.58011733504247</c:v>
                  </c:pt>
                  <c:pt idx="12">
                    <c:v>845.62874065903736</c:v>
                  </c:pt>
                </c:numCache>
              </c:numRef>
            </c:plus>
            <c:minus>
              <c:numRef>
                <c:f>'D&amp;A Forecasts'!$D$2:$D$14</c:f>
                <c:numCache>
                  <c:formatCode>General</c:formatCode>
                  <c:ptCount val="13"/>
                  <c:pt idx="6">
                    <c:v>348.20208239337438</c:v>
                  </c:pt>
                  <c:pt idx="7">
                    <c:v>468.69099726621442</c:v>
                  </c:pt>
                  <c:pt idx="8">
                    <c:v>564.1953702664664</c:v>
                  </c:pt>
                  <c:pt idx="9">
                    <c:v>645.89505912927689</c:v>
                  </c:pt>
                  <c:pt idx="10">
                    <c:v>718.51480718233631</c:v>
                  </c:pt>
                  <c:pt idx="11">
                    <c:v>784.58011733504247</c:v>
                  </c:pt>
                  <c:pt idx="12">
                    <c:v>845.62874065903736</c:v>
                  </c:pt>
                </c:numCache>
              </c:numRef>
            </c:minus>
            <c:spPr>
              <a:noFill/>
              <a:ln w="9525" cap="flat" cmpd="sng" algn="ctr">
                <a:solidFill>
                  <a:srgbClr val="595959">
                    <a:alpha val="40392"/>
                  </a:srgbClr>
                </a:solidFill>
                <a:prstDash val="solid"/>
                <a:round/>
              </a:ln>
              <a:effectLst/>
            </c:spPr>
          </c:errBars>
          <c:cat>
            <c:numRef>
              <c:f>'D&amp;A Forecasts'!$A$2:$A$14</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'D&amp;A Forecasts'!$C$2:$C$14</c:f>
              <c:numCache>
                <c:formatCode>General</c:formatCode>
                <c:ptCount val="13"/>
                <c:pt idx="6" formatCode="_-* #,##0_-;\-* #,##0_-;_-* &quot;-&quot;??_-;_-@_-">
                  <c:v>13976.591254966597</c:v>
                </c:pt>
                <c:pt idx="7" formatCode="_-* #,##0_-;\-* #,##0_-;_-* &quot;-&quot;??_-;_-@_-">
                  <c:v>15512.95929241163</c:v>
                </c:pt>
                <c:pt idx="8" formatCode="_-* #,##0_-;\-* #,##0_-;_-* &quot;-&quot;??_-;_-@_-">
                  <c:v>17049.32732985666</c:v>
                </c:pt>
                <c:pt idx="9" formatCode="_-* #,##0_-;\-* #,##0_-;_-* &quot;-&quot;??_-;_-@_-">
                  <c:v>18585.695367301691</c:v>
                </c:pt>
                <c:pt idx="10" formatCode="_-* #,##0_-;\-* #,##0_-;_-* &quot;-&quot;??_-;_-@_-">
                  <c:v>20122.063404746725</c:v>
                </c:pt>
                <c:pt idx="11" formatCode="_-* #,##0_-;\-* #,##0_-;_-* &quot;-&quot;??_-;_-@_-">
                  <c:v>21658.431442191755</c:v>
                </c:pt>
                <c:pt idx="12" formatCode="_-* #,##0_-;\-* #,##0_-;_-* &quot;-&quot;??_-;_-@_-">
                  <c:v>23194.799479636786</c:v>
                </c:pt>
              </c:numCache>
            </c:numRef>
          </c:val>
          <c:extLst>
            <c:ext xmlns:c16="http://schemas.microsoft.com/office/drawing/2014/chart" uri="{C3380CC4-5D6E-409C-BE32-E72D297353CC}">
              <c16:uniqueId val="{00000001-3BEC-4F10-8F12-AC4CE8959463}"/>
            </c:ext>
          </c:extLst>
        </c:ser>
        <c:dLbls>
          <c:showLegendKey val="0"/>
          <c:showVal val="0"/>
          <c:showCatName val="0"/>
          <c:showSerName val="0"/>
          <c:showPercent val="0"/>
          <c:showBubbleSize val="0"/>
        </c:dLbls>
        <c:gapWidth val="0"/>
        <c:overlap val="100"/>
        <c:axId val="1237004368"/>
        <c:axId val="1353260464"/>
      </c:barChart>
      <c:catAx>
        <c:axId val="123700436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60464"/>
        <c:crosses val="autoZero"/>
        <c:auto val="1"/>
        <c:lblAlgn val="ctr"/>
        <c:lblOffset val="100"/>
        <c:noMultiLvlLbl val="0"/>
      </c:catAx>
      <c:valAx>
        <c:axId val="135326046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004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'Taxes Forecasts'!$B$1</c:f>
              <c:strCache>
                <c:ptCount val="1"/>
                <c:pt idx="0">
                  <c:v>Values</c:v>
                </c:pt>
              </c:strCache>
            </c:strRef>
          </c:tx>
          <c:spPr>
            <a:solidFill>
              <a:schemeClr val="accent1"/>
            </a:solidFill>
            <a:ln w="12700">
              <a:solidFill>
                <a:srgbClr val="FFFFFF"/>
              </a:solidFill>
              <a:prstDash val="solid"/>
            </a:ln>
            <a:effectLst/>
          </c:spPr>
          <c:invertIfNegative val="0"/>
          <c:val>
            <c:numRef>
              <c:f>'Taxes Forecasts'!$B$2:$B$14</c:f>
              <c:numCache>
                <c:formatCode>_(* #,##0_);_(* \(#,##0\);_(* "-"??_);_(@_)</c:formatCode>
                <c:ptCount val="13"/>
                <c:pt idx="0">
                  <c:v>74</c:v>
                </c:pt>
                <c:pt idx="1">
                  <c:v>-74</c:v>
                </c:pt>
                <c:pt idx="2">
                  <c:v>15</c:v>
                </c:pt>
                <c:pt idx="3">
                  <c:v>195</c:v>
                </c:pt>
                <c:pt idx="4">
                  <c:v>438</c:v>
                </c:pt>
                <c:pt idx="5">
                  <c:v>724</c:v>
                </c:pt>
              </c:numCache>
            </c:numRef>
          </c:val>
          <c:extLst>
            <c:ext xmlns:c16="http://schemas.microsoft.com/office/drawing/2014/chart" uri="{C3380CC4-5D6E-409C-BE32-E72D297353CC}">
              <c16:uniqueId val="{00000000-FD08-46C0-986C-B9B34E758D24}"/>
            </c:ext>
          </c:extLst>
        </c:ser>
        <c:ser>
          <c:idx val="1"/>
          <c:order val="1"/>
          <c:tx>
            <c:strRef>
              <c:f>'Taxes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'Taxes Forecasts'!$D$2:$D$14</c:f>
                <c:numCache>
                  <c:formatCode>General</c:formatCode>
                  <c:ptCount val="13"/>
                  <c:pt idx="6">
                    <c:v>381.65334258403675</c:v>
                  </c:pt>
                  <c:pt idx="7">
                    <c:v>513.7174496952407</c:v>
                  </c:pt>
                  <c:pt idx="8">
                    <c:v>618.39678686749994</c:v>
                  </c:pt>
                  <c:pt idx="9">
                    <c:v>707.94524426972009</c:v>
                  </c:pt>
                  <c:pt idx="10">
                    <c:v>787.54146434846609</c:v>
                  </c:pt>
                  <c:pt idx="11">
                    <c:v>859.95357135058998</c:v>
                  </c:pt>
                  <c:pt idx="12">
                    <c:v>926.86704582382526</c:v>
                  </c:pt>
                </c:numCache>
              </c:numRef>
            </c:plus>
            <c:minus>
              <c:numRef>
                <c:f>'Taxes Forecasts'!$D$2:$D$14</c:f>
                <c:numCache>
                  <c:formatCode>General</c:formatCode>
                  <c:ptCount val="13"/>
                  <c:pt idx="6">
                    <c:v>381.65334258403675</c:v>
                  </c:pt>
                  <c:pt idx="7">
                    <c:v>513.7174496952407</c:v>
                  </c:pt>
                  <c:pt idx="8">
                    <c:v>618.39678686749994</c:v>
                  </c:pt>
                  <c:pt idx="9">
                    <c:v>707.94524426972009</c:v>
                  </c:pt>
                  <c:pt idx="10">
                    <c:v>787.54146434846609</c:v>
                  </c:pt>
                  <c:pt idx="11">
                    <c:v>859.95357135058998</c:v>
                  </c:pt>
                  <c:pt idx="12">
                    <c:v>926.86704582382526</c:v>
                  </c:pt>
                </c:numCache>
              </c:numRef>
            </c:minus>
            <c:spPr>
              <a:noFill/>
              <a:ln w="9525" cap="flat" cmpd="sng" algn="ctr">
                <a:solidFill>
                  <a:srgbClr val="595959">
                    <a:alpha val="40392"/>
                  </a:srgbClr>
                </a:solidFill>
                <a:prstDash val="solid"/>
                <a:round/>
              </a:ln>
              <a:effectLst/>
            </c:spPr>
          </c:errBars>
          <c:cat>
            <c:numRef>
              <c:f>'Taxes Forecasts'!$A$2:$A$14</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'Taxes Forecasts'!$C$2:$C$14</c:f>
              <c:numCache>
                <c:formatCode>General</c:formatCode>
                <c:ptCount val="13"/>
                <c:pt idx="6" formatCode="_(* #,##0_);_(* \(#,##0\);_(* &quot;-&quot;??_);_(@_)">
                  <c:v>874.01288291219544</c:v>
                </c:pt>
                <c:pt idx="7" formatCode="_(* #,##0_);_(* \(#,##0\);_(* &quot;-&quot;??_);_(@_)">
                  <c:v>1037.1342277583258</c:v>
                </c:pt>
                <c:pt idx="8" formatCode="_(* #,##0_);_(* \(#,##0\);_(* &quot;-&quot;??_);_(@_)">
                  <c:v>1200.2555726044561</c:v>
                </c:pt>
                <c:pt idx="9" formatCode="_(* #,##0_);_(* \(#,##0\);_(* &quot;-&quot;??_);_(@_)">
                  <c:v>1363.3769174505865</c:v>
                </c:pt>
                <c:pt idx="10" formatCode="_(* #,##0_);_(* \(#,##0\);_(* &quot;-&quot;??_);_(@_)">
                  <c:v>1526.4982622967168</c:v>
                </c:pt>
                <c:pt idx="11" formatCode="_(* #,##0_);_(* \(#,##0\);_(* &quot;-&quot;??_);_(@_)">
                  <c:v>1689.6196071428474</c:v>
                </c:pt>
                <c:pt idx="12" formatCode="_(* #,##0_);_(* \(#,##0\);_(* &quot;-&quot;??_);_(@_)">
                  <c:v>1852.7409519889779</c:v>
                </c:pt>
              </c:numCache>
            </c:numRef>
          </c:val>
          <c:extLst>
            <c:ext xmlns:c16="http://schemas.microsoft.com/office/drawing/2014/chart" uri="{C3380CC4-5D6E-409C-BE32-E72D297353CC}">
              <c16:uniqueId val="{00000001-FD08-46C0-986C-B9B34E758D24}"/>
            </c:ext>
          </c:extLst>
        </c:ser>
        <c:dLbls>
          <c:showLegendKey val="0"/>
          <c:showVal val="0"/>
          <c:showCatName val="0"/>
          <c:showSerName val="0"/>
          <c:showPercent val="0"/>
          <c:showBubbleSize val="0"/>
        </c:dLbls>
        <c:gapWidth val="0"/>
        <c:overlap val="100"/>
        <c:axId val="1446844320"/>
        <c:axId val="1353257136"/>
      </c:barChart>
      <c:catAx>
        <c:axId val="14468443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57136"/>
        <c:crosses val="autoZero"/>
        <c:auto val="1"/>
        <c:lblAlgn val="ctr"/>
        <c:lblOffset val="100"/>
        <c:noMultiLvlLbl val="0"/>
      </c:catAx>
      <c:valAx>
        <c:axId val="135325713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844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'SGA Forecasts'!$B$1</c:f>
              <c:strCache>
                <c:ptCount val="1"/>
                <c:pt idx="0">
                  <c:v>Values</c:v>
                </c:pt>
              </c:strCache>
            </c:strRef>
          </c:tx>
          <c:spPr>
            <a:solidFill>
              <a:schemeClr val="accent1"/>
            </a:solidFill>
            <a:ln w="12700">
              <a:solidFill>
                <a:srgbClr val="FFFFFF"/>
              </a:solidFill>
              <a:prstDash val="solid"/>
            </a:ln>
            <a:effectLst/>
          </c:spPr>
          <c:invertIfNegative val="0"/>
          <c:val>
            <c:numRef>
              <c:f>'SGA Forecasts'!$B$2:$B$14</c:f>
              <c:numCache>
                <c:formatCode>_-* #,##0_-;\-* #,##0_-;_-* "-"??_-;_-@_-</c:formatCode>
                <c:ptCount val="13"/>
                <c:pt idx="0">
                  <c:v>315.66300000000001</c:v>
                </c:pt>
                <c:pt idx="1">
                  <c:v>431.04300000000001</c:v>
                </c:pt>
                <c:pt idx="2">
                  <c:v>630.29399999999998</c:v>
                </c:pt>
                <c:pt idx="3">
                  <c:v>914.36900000000003</c:v>
                </c:pt>
                <c:pt idx="4">
                  <c:v>1076.4860000000001</c:v>
                </c:pt>
                <c:pt idx="5">
                  <c:v>1351.6210000000001</c:v>
                </c:pt>
              </c:numCache>
            </c:numRef>
          </c:val>
          <c:extLst>
            <c:ext xmlns:c16="http://schemas.microsoft.com/office/drawing/2014/chart" uri="{C3380CC4-5D6E-409C-BE32-E72D297353CC}">
              <c16:uniqueId val="{00000000-41B1-4D91-9F8E-4C82D4684053}"/>
            </c:ext>
          </c:extLst>
        </c:ser>
        <c:ser>
          <c:idx val="1"/>
          <c:order val="1"/>
          <c:tx>
            <c:strRef>
              <c:f>'SGA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'SGA Forecasts'!$D$2:$D$14</c:f>
                <c:numCache>
                  <c:formatCode>General</c:formatCode>
                  <c:ptCount val="13"/>
                  <c:pt idx="6">
                    <c:v>146.56594353840282</c:v>
                  </c:pt>
                  <c:pt idx="7">
                    <c:v>183.29540649200288</c:v>
                  </c:pt>
                  <c:pt idx="8">
                    <c:v>213.8810956706325</c:v>
                  </c:pt>
                  <c:pt idx="9">
                    <c:v>240.67689939223268</c:v>
                  </c:pt>
                  <c:pt idx="10">
                    <c:v>264.83577826945162</c:v>
                  </c:pt>
                  <c:pt idx="11">
                    <c:v>287.02443223531264</c:v>
                  </c:pt>
                  <c:pt idx="12">
                    <c:v>307.66949574090506</c:v>
                  </c:pt>
                </c:numCache>
              </c:numRef>
            </c:plus>
            <c:minus>
              <c:numRef>
                <c:f>'SGA Forecasts'!$D$2:$D$14</c:f>
                <c:numCache>
                  <c:formatCode>General</c:formatCode>
                  <c:ptCount val="13"/>
                  <c:pt idx="6">
                    <c:v>146.56594353840282</c:v>
                  </c:pt>
                  <c:pt idx="7">
                    <c:v>183.29540649200288</c:v>
                  </c:pt>
                  <c:pt idx="8">
                    <c:v>213.8810956706325</c:v>
                  </c:pt>
                  <c:pt idx="9">
                    <c:v>240.67689939223268</c:v>
                  </c:pt>
                  <c:pt idx="10">
                    <c:v>264.83577826945162</c:v>
                  </c:pt>
                  <c:pt idx="11">
                    <c:v>287.02443223531264</c:v>
                  </c:pt>
                  <c:pt idx="12">
                    <c:v>307.66949574090506</c:v>
                  </c:pt>
                </c:numCache>
              </c:numRef>
            </c:minus>
            <c:spPr>
              <a:noFill/>
              <a:ln w="9525" cap="flat" cmpd="sng" algn="ctr">
                <a:solidFill>
                  <a:srgbClr val="595959">
                    <a:alpha val="40392"/>
                  </a:srgbClr>
                </a:solidFill>
                <a:prstDash val="solid"/>
                <a:round/>
              </a:ln>
              <a:effectLst/>
            </c:spPr>
          </c:errBars>
          <c:cat>
            <c:numRef>
              <c:f>'SGA Forecasts'!$A$2:$A$14</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'SGA Forecasts'!$C$2:$C$14</c:f>
              <c:numCache>
                <c:formatCode>General</c:formatCode>
                <c:ptCount val="13"/>
                <c:pt idx="6" formatCode="_-* #,##0_-;\-* #,##0_-;_-* &quot;-&quot;??_-;_-@_-">
                  <c:v>1557.3290902572737</c:v>
                </c:pt>
                <c:pt idx="7" formatCode="_-* #,##0_-;\-* #,##0_-;_-* &quot;-&quot;??_-;_-@_-">
                  <c:v>1774.8574124500058</c:v>
                </c:pt>
                <c:pt idx="8" formatCode="_-* #,##0_-;\-* #,##0_-;_-* &quot;-&quot;??_-;_-@_-">
                  <c:v>1992.3857346427376</c:v>
                </c:pt>
                <c:pt idx="9" formatCode="_-* #,##0_-;\-* #,##0_-;_-* &quot;-&quot;??_-;_-@_-">
                  <c:v>2209.9140568354696</c:v>
                </c:pt>
                <c:pt idx="10" formatCode="_-* #,##0_-;\-* #,##0_-;_-* &quot;-&quot;??_-;_-@_-">
                  <c:v>2427.4423790282017</c:v>
                </c:pt>
                <c:pt idx="11" formatCode="_-* #,##0_-;\-* #,##0_-;_-* &quot;-&quot;??_-;_-@_-">
                  <c:v>2644.9707012209337</c:v>
                </c:pt>
                <c:pt idx="12" formatCode="_-* #,##0_-;\-* #,##0_-;_-* &quot;-&quot;??_-;_-@_-">
                  <c:v>2862.4990234136658</c:v>
                </c:pt>
              </c:numCache>
            </c:numRef>
          </c:val>
          <c:extLst>
            <c:ext xmlns:c16="http://schemas.microsoft.com/office/drawing/2014/chart" uri="{C3380CC4-5D6E-409C-BE32-E72D297353CC}">
              <c16:uniqueId val="{00000001-41B1-4D91-9F8E-4C82D4684053}"/>
            </c:ext>
          </c:extLst>
        </c:ser>
        <c:dLbls>
          <c:showLegendKey val="0"/>
          <c:showVal val="0"/>
          <c:showCatName val="0"/>
          <c:showSerName val="0"/>
          <c:showPercent val="0"/>
          <c:showBubbleSize val="0"/>
        </c:dLbls>
        <c:gapWidth val="0"/>
        <c:overlap val="100"/>
        <c:axId val="1424903264"/>
        <c:axId val="1392288976"/>
      </c:barChart>
      <c:catAx>
        <c:axId val="142490326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288976"/>
        <c:crosses val="autoZero"/>
        <c:auto val="1"/>
        <c:lblAlgn val="ctr"/>
        <c:lblOffset val="100"/>
        <c:noMultiLvlLbl val="0"/>
      </c:catAx>
      <c:valAx>
        <c:axId val="139228897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03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'Tech and Dev Forecasts'!$B$1</c:f>
              <c:strCache>
                <c:ptCount val="1"/>
                <c:pt idx="0">
                  <c:v>Values</c:v>
                </c:pt>
              </c:strCache>
            </c:strRef>
          </c:tx>
          <c:spPr>
            <a:solidFill>
              <a:schemeClr val="accent1"/>
            </a:solidFill>
            <a:ln w="12700">
              <a:solidFill>
                <a:srgbClr val="FFFFFF"/>
              </a:solidFill>
              <a:prstDash val="solid"/>
            </a:ln>
            <a:effectLst/>
          </c:spPr>
          <c:invertIfNegative val="0"/>
          <c:val>
            <c:numRef>
              <c:f>'Tech and Dev Forecasts'!$B$2:$B$14</c:f>
              <c:numCache>
                <c:formatCode>_-* #,##0_-;\-* #,##0_-;_-* "-"??_-;_-@_-</c:formatCode>
                <c:ptCount val="13"/>
                <c:pt idx="0">
                  <c:v>780.23199999999997</c:v>
                </c:pt>
                <c:pt idx="1">
                  <c:v>953.71</c:v>
                </c:pt>
                <c:pt idx="2">
                  <c:v>1221.8140000000001</c:v>
                </c:pt>
                <c:pt idx="3">
                  <c:v>1545</c:v>
                </c:pt>
                <c:pt idx="4">
                  <c:v>1830</c:v>
                </c:pt>
                <c:pt idx="5">
                  <c:v>2274</c:v>
                </c:pt>
              </c:numCache>
            </c:numRef>
          </c:val>
          <c:extLst>
            <c:ext xmlns:c16="http://schemas.microsoft.com/office/drawing/2014/chart" uri="{C3380CC4-5D6E-409C-BE32-E72D297353CC}">
              <c16:uniqueId val="{00000000-FC38-4655-AB9B-C9AF75AB9AF6}"/>
            </c:ext>
          </c:extLst>
        </c:ser>
        <c:ser>
          <c:idx val="1"/>
          <c:order val="1"/>
          <c:tx>
            <c:strRef>
              <c:f>'Tech and Dev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'Tech and Dev Forecasts'!$D$2:$D$14</c:f>
                <c:numCache>
                  <c:formatCode>General</c:formatCode>
                  <c:ptCount val="13"/>
                  <c:pt idx="6">
                    <c:v>208.73733367275642</c:v>
                  </c:pt>
                  <c:pt idx="7">
                    <c:v>280.96704193529069</c:v>
                  </c:pt>
                  <c:pt idx="8">
                    <c:v>338.21922158090081</c:v>
                  </c:pt>
                  <c:pt idx="9">
                    <c:v>387.19588219676314</c:v>
                  </c:pt>
                  <c:pt idx="10">
                    <c:v>430.72937423216695</c:v>
                  </c:pt>
                  <c:pt idx="11">
                    <c:v>470.33366549530837</c:v>
                  </c:pt>
                  <c:pt idx="12">
                    <c:v>506.93059440926822</c:v>
                  </c:pt>
                </c:numCache>
              </c:numRef>
            </c:plus>
            <c:minus>
              <c:numRef>
                <c:f>'Tech and Dev Forecasts'!$D$2:$D$14</c:f>
                <c:numCache>
                  <c:formatCode>General</c:formatCode>
                  <c:ptCount val="13"/>
                  <c:pt idx="6">
                    <c:v>208.73733367275642</c:v>
                  </c:pt>
                  <c:pt idx="7">
                    <c:v>280.96704193529069</c:v>
                  </c:pt>
                  <c:pt idx="8">
                    <c:v>338.21922158090081</c:v>
                  </c:pt>
                  <c:pt idx="9">
                    <c:v>387.19588219676314</c:v>
                  </c:pt>
                  <c:pt idx="10">
                    <c:v>430.72937423216695</c:v>
                  </c:pt>
                  <c:pt idx="11">
                    <c:v>470.33366549530837</c:v>
                  </c:pt>
                  <c:pt idx="12">
                    <c:v>506.93059440926822</c:v>
                  </c:pt>
                </c:numCache>
              </c:numRef>
            </c:minus>
            <c:spPr>
              <a:noFill/>
              <a:ln w="9525" cap="flat" cmpd="sng" algn="ctr">
                <a:solidFill>
                  <a:srgbClr val="595959">
                    <a:alpha val="40392"/>
                  </a:srgbClr>
                </a:solidFill>
                <a:prstDash val="solid"/>
                <a:round/>
              </a:ln>
              <a:effectLst/>
            </c:spPr>
          </c:errBars>
          <c:cat>
            <c:numRef>
              <c:f>'Tech and Dev Forecasts'!$A$2:$A$14</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'Tech and Dev Forecasts'!$C$2:$C$14</c:f>
              <c:numCache>
                <c:formatCode>General</c:formatCode>
                <c:ptCount val="13"/>
                <c:pt idx="6" formatCode="_-* #,##0_-;\-* #,##0_-;_-* &quot;-&quot;??_-;_-@_-">
                  <c:v>2567.9044953039534</c:v>
                </c:pt>
                <c:pt idx="7" formatCode="_-* #,##0_-;\-* #,##0_-;_-* &quot;-&quot;??_-;_-@_-">
                  <c:v>2875.273663452555</c:v>
                </c:pt>
                <c:pt idx="8" formatCode="_-* #,##0_-;\-* #,##0_-;_-* &quot;-&quot;??_-;_-@_-">
                  <c:v>3182.6428316011566</c:v>
                </c:pt>
                <c:pt idx="9" formatCode="_-* #,##0_-;\-* #,##0_-;_-* &quot;-&quot;??_-;_-@_-">
                  <c:v>3490.0119997497582</c:v>
                </c:pt>
                <c:pt idx="10" formatCode="_-* #,##0_-;\-* #,##0_-;_-* &quot;-&quot;??_-;_-@_-">
                  <c:v>3797.3811678983598</c:v>
                </c:pt>
                <c:pt idx="11" formatCode="_-* #,##0_-;\-* #,##0_-;_-* &quot;-&quot;??_-;_-@_-">
                  <c:v>4104.7503360469618</c:v>
                </c:pt>
                <c:pt idx="12" formatCode="_-* #,##0_-;\-* #,##0_-;_-* &quot;-&quot;??_-;_-@_-">
                  <c:v>4412.1195041955634</c:v>
                </c:pt>
              </c:numCache>
            </c:numRef>
          </c:val>
          <c:extLst>
            <c:ext xmlns:c16="http://schemas.microsoft.com/office/drawing/2014/chart" uri="{C3380CC4-5D6E-409C-BE32-E72D297353CC}">
              <c16:uniqueId val="{00000001-FC38-4655-AB9B-C9AF75AB9AF6}"/>
            </c:ext>
          </c:extLst>
        </c:ser>
        <c:dLbls>
          <c:showLegendKey val="0"/>
          <c:showVal val="0"/>
          <c:showCatName val="0"/>
          <c:showSerName val="0"/>
          <c:showPercent val="0"/>
          <c:showBubbleSize val="0"/>
        </c:dLbls>
        <c:gapWidth val="0"/>
        <c:overlap val="100"/>
        <c:axId val="1393106224"/>
        <c:axId val="1353254224"/>
      </c:barChart>
      <c:catAx>
        <c:axId val="139310622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54224"/>
        <c:crosses val="autoZero"/>
        <c:auto val="1"/>
        <c:lblAlgn val="ctr"/>
        <c:lblOffset val="100"/>
        <c:noMultiLvlLbl val="0"/>
      </c:catAx>
      <c:valAx>
        <c:axId val="135325422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106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'Marketing Forecasts'!$B$1</c:f>
              <c:strCache>
                <c:ptCount val="1"/>
                <c:pt idx="0">
                  <c:v>Values</c:v>
                </c:pt>
              </c:strCache>
            </c:strRef>
          </c:tx>
          <c:spPr>
            <a:solidFill>
              <a:schemeClr val="accent1"/>
            </a:solidFill>
            <a:ln w="12700">
              <a:solidFill>
                <a:srgbClr val="FFFFFF"/>
              </a:solidFill>
              <a:prstDash val="solid"/>
            </a:ln>
            <a:effectLst/>
          </c:spPr>
          <c:invertIfNegative val="0"/>
          <c:val>
            <c:numRef>
              <c:f>'Marketing Forecasts'!$B$2:$B$14</c:f>
              <c:numCache>
                <c:formatCode>_-* #,##0_-;\-* #,##0_-;_-* "-"??_-;_-@_-</c:formatCode>
                <c:ptCount val="13"/>
                <c:pt idx="0">
                  <c:v>1097.519</c:v>
                </c:pt>
                <c:pt idx="1">
                  <c:v>1436.2809999999999</c:v>
                </c:pt>
                <c:pt idx="2">
                  <c:v>2369.4690000000001</c:v>
                </c:pt>
                <c:pt idx="3">
                  <c:v>2652.462</c:v>
                </c:pt>
                <c:pt idx="4">
                  <c:v>2228.3620000000001</c:v>
                </c:pt>
                <c:pt idx="5">
                  <c:v>2545.1460000000002</c:v>
                </c:pt>
              </c:numCache>
            </c:numRef>
          </c:val>
          <c:extLst>
            <c:ext xmlns:c16="http://schemas.microsoft.com/office/drawing/2014/chart" uri="{C3380CC4-5D6E-409C-BE32-E72D297353CC}">
              <c16:uniqueId val="{00000000-3CF3-489A-B48B-625AD9C1D2D1}"/>
            </c:ext>
          </c:extLst>
        </c:ser>
        <c:ser>
          <c:idx val="1"/>
          <c:order val="1"/>
          <c:tx>
            <c:strRef>
              <c:f>'Marketing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'Marketing Forecasts'!$D$2:$D$14</c:f>
                <c:numCache>
                  <c:formatCode>General</c:formatCode>
                  <c:ptCount val="13"/>
                  <c:pt idx="6">
                    <c:v>1017.6602488933983</c:v>
                  </c:pt>
                  <c:pt idx="7">
                    <c:v>1369.8028272937943</c:v>
                  </c:pt>
                  <c:pt idx="8">
                    <c:v>1648.9252361254703</c:v>
                  </c:pt>
                  <c:pt idx="9">
                    <c:v>1887.7018830977083</c:v>
                  </c:pt>
                  <c:pt idx="10">
                    <c:v>2099.9413687730485</c:v>
                  </c:pt>
                  <c:pt idx="11">
                    <c:v>2293.0247630798881</c:v>
                  </c:pt>
                  <c:pt idx="12">
                    <c:v>2471.4463186876733</c:v>
                  </c:pt>
                </c:numCache>
              </c:numRef>
            </c:plus>
            <c:minus>
              <c:numRef>
                <c:f>'Marketing Forecasts'!$D$2:$D$14</c:f>
                <c:numCache>
                  <c:formatCode>General</c:formatCode>
                  <c:ptCount val="13"/>
                  <c:pt idx="6">
                    <c:v>1017.6602488933983</c:v>
                  </c:pt>
                  <c:pt idx="7">
                    <c:v>1369.8028272937943</c:v>
                  </c:pt>
                  <c:pt idx="8">
                    <c:v>1648.9252361254703</c:v>
                  </c:pt>
                  <c:pt idx="9">
                    <c:v>1887.7018830977083</c:v>
                  </c:pt>
                  <c:pt idx="10">
                    <c:v>2099.9413687730485</c:v>
                  </c:pt>
                  <c:pt idx="11">
                    <c:v>2293.0247630798881</c:v>
                  </c:pt>
                  <c:pt idx="12">
                    <c:v>2471.4463186876733</c:v>
                  </c:pt>
                </c:numCache>
              </c:numRef>
            </c:minus>
            <c:spPr>
              <a:noFill/>
              <a:ln w="9525" cap="flat" cmpd="sng" algn="ctr">
                <a:solidFill>
                  <a:srgbClr val="595959">
                    <a:alpha val="40392"/>
                  </a:srgbClr>
                </a:solidFill>
                <a:prstDash val="solid"/>
                <a:round/>
              </a:ln>
              <a:effectLst/>
            </c:spPr>
          </c:errBars>
          <c:cat>
            <c:numRef>
              <c:f>'Marketing Forecasts'!$A$2:$A$14</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'Marketing Forecasts'!$C$2:$C$14</c:f>
              <c:numCache>
                <c:formatCode>General</c:formatCode>
                <c:ptCount val="13"/>
                <c:pt idx="6" formatCode="_-* #,##0_-;\-* #,##0_-;_-* &quot;-&quot;??_-;_-@_-">
                  <c:v>2801.935138679255</c:v>
                </c:pt>
                <c:pt idx="7" formatCode="_-* #,##0_-;\-* #,##0_-;_-* &quot;-&quot;??_-;_-@_-">
                  <c:v>3058.0738082872122</c:v>
                </c:pt>
                <c:pt idx="8" formatCode="_-* #,##0_-;\-* #,##0_-;_-* &quot;-&quot;??_-;_-@_-">
                  <c:v>3314.2124778951688</c:v>
                </c:pt>
                <c:pt idx="9" formatCode="_-* #,##0_-;\-* #,##0_-;_-* &quot;-&quot;??_-;_-@_-">
                  <c:v>3570.3511475031255</c:v>
                </c:pt>
                <c:pt idx="10" formatCode="_-* #,##0_-;\-* #,##0_-;_-* &quot;-&quot;??_-;_-@_-">
                  <c:v>3826.4898171110822</c:v>
                </c:pt>
                <c:pt idx="11" formatCode="_-* #,##0_-;\-* #,##0_-;_-* &quot;-&quot;??_-;_-@_-">
                  <c:v>4082.6284867190388</c:v>
                </c:pt>
                <c:pt idx="12" formatCode="_-* #,##0_-;\-* #,##0_-;_-* &quot;-&quot;??_-;_-@_-">
                  <c:v>4338.767156326996</c:v>
                </c:pt>
              </c:numCache>
            </c:numRef>
          </c:val>
          <c:extLst>
            <c:ext xmlns:c16="http://schemas.microsoft.com/office/drawing/2014/chart" uri="{C3380CC4-5D6E-409C-BE32-E72D297353CC}">
              <c16:uniqueId val="{00000001-3CF3-489A-B48B-625AD9C1D2D1}"/>
            </c:ext>
          </c:extLst>
        </c:ser>
        <c:dLbls>
          <c:showLegendKey val="0"/>
          <c:showVal val="0"/>
          <c:showCatName val="0"/>
          <c:showSerName val="0"/>
          <c:showPercent val="0"/>
          <c:showBubbleSize val="0"/>
        </c:dLbls>
        <c:gapWidth val="0"/>
        <c:overlap val="100"/>
        <c:axId val="1453478432"/>
        <c:axId val="1197318000"/>
      </c:barChart>
      <c:catAx>
        <c:axId val="145347843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7318000"/>
        <c:crosses val="autoZero"/>
        <c:auto val="1"/>
        <c:lblAlgn val="ctr"/>
        <c:lblOffset val="100"/>
        <c:noMultiLvlLbl val="0"/>
      </c:catAx>
      <c:valAx>
        <c:axId val="119731800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478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'COR Forecasts'!$B$1</c:f>
              <c:strCache>
                <c:ptCount val="1"/>
                <c:pt idx="0">
                  <c:v>Values</c:v>
                </c:pt>
              </c:strCache>
            </c:strRef>
          </c:tx>
          <c:spPr>
            <a:solidFill>
              <a:schemeClr val="accent1"/>
            </a:solidFill>
            <a:ln w="12700">
              <a:solidFill>
                <a:srgbClr val="FFFFFF"/>
              </a:solidFill>
              <a:prstDash val="solid"/>
            </a:ln>
            <a:effectLst/>
          </c:spPr>
          <c:invertIfNegative val="0"/>
          <c:val>
            <c:numRef>
              <c:f>'COR Forecasts'!$B$2:$B$14</c:f>
              <c:numCache>
                <c:formatCode>_-* #,##0_-;\-* #,##0_-;_-* "-"??_-;_-@_-</c:formatCode>
                <c:ptCount val="13"/>
                <c:pt idx="0">
                  <c:v>6257</c:v>
                </c:pt>
                <c:pt idx="1">
                  <c:v>8033</c:v>
                </c:pt>
                <c:pt idx="2">
                  <c:v>9968</c:v>
                </c:pt>
                <c:pt idx="3">
                  <c:v>12440</c:v>
                </c:pt>
                <c:pt idx="4">
                  <c:v>15276</c:v>
                </c:pt>
                <c:pt idx="5">
                  <c:v>17333</c:v>
                </c:pt>
              </c:numCache>
            </c:numRef>
          </c:val>
          <c:extLst>
            <c:ext xmlns:c16="http://schemas.microsoft.com/office/drawing/2014/chart" uri="{C3380CC4-5D6E-409C-BE32-E72D297353CC}">
              <c16:uniqueId val="{00000000-F6DD-44CE-92B9-F3682B9DB855}"/>
            </c:ext>
          </c:extLst>
        </c:ser>
        <c:ser>
          <c:idx val="1"/>
          <c:order val="1"/>
          <c:tx>
            <c:strRef>
              <c:f>'COR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'COR Forecasts'!$D$2:$D$14</c:f>
                <c:numCache>
                  <c:formatCode>General</c:formatCode>
                  <c:ptCount val="13"/>
                  <c:pt idx="6">
                    <c:v>951.21536770101659</c:v>
                  </c:pt>
                  <c:pt idx="7">
                    <c:v>1280.3659192338637</c:v>
                  </c:pt>
                  <c:pt idx="8">
                    <c:v>1541.2639203488002</c:v>
                  </c:pt>
                  <c:pt idx="9">
                    <c:v>1764.4504074844547</c:v>
                  </c:pt>
                  <c:pt idx="10">
                    <c:v>1962.8323926576725</c:v>
                  </c:pt>
                  <c:pt idx="11">
                    <c:v>2143.309022370051</c:v>
                  </c:pt>
                  <c:pt idx="12">
                    <c:v>2310.0811113926857</c:v>
                  </c:pt>
                </c:numCache>
              </c:numRef>
            </c:plus>
            <c:minus>
              <c:numRef>
                <c:f>'COR Forecasts'!$D$2:$D$14</c:f>
                <c:numCache>
                  <c:formatCode>General</c:formatCode>
                  <c:ptCount val="13"/>
                  <c:pt idx="6">
                    <c:v>951.21536770101659</c:v>
                  </c:pt>
                  <c:pt idx="7">
                    <c:v>1280.3659192338637</c:v>
                  </c:pt>
                  <c:pt idx="8">
                    <c:v>1541.2639203488002</c:v>
                  </c:pt>
                  <c:pt idx="9">
                    <c:v>1764.4504074844547</c:v>
                  </c:pt>
                  <c:pt idx="10">
                    <c:v>1962.8323926576725</c:v>
                  </c:pt>
                  <c:pt idx="11">
                    <c:v>2143.309022370051</c:v>
                  </c:pt>
                  <c:pt idx="12">
                    <c:v>2310.0811113926857</c:v>
                  </c:pt>
                </c:numCache>
              </c:numRef>
            </c:minus>
            <c:spPr>
              <a:noFill/>
              <a:ln w="9525" cap="flat" cmpd="sng" algn="ctr">
                <a:solidFill>
                  <a:srgbClr val="595959">
                    <a:alpha val="40392"/>
                  </a:srgbClr>
                </a:solidFill>
                <a:prstDash val="solid"/>
                <a:round/>
              </a:ln>
              <a:effectLst/>
            </c:spPr>
          </c:errBars>
          <c:cat>
            <c:numRef>
              <c:f>'COR Forecasts'!$A$2:$A$14</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'COR Forecasts'!$C$2:$C$14</c:f>
              <c:numCache>
                <c:formatCode>_-* #,##0_-;\-* #,##0_-;_-* "-"??_-;_-@_-</c:formatCode>
                <c:ptCount val="13"/>
                <c:pt idx="6">
                  <c:v>19668.512344437113</c:v>
                </c:pt>
                <c:pt idx="7">
                  <c:v>21983.529601261216</c:v>
                </c:pt>
                <c:pt idx="8">
                  <c:v>24298.546858085323</c:v>
                </c:pt>
                <c:pt idx="9">
                  <c:v>26613.564114909426</c:v>
                </c:pt>
                <c:pt idx="10">
                  <c:v>28928.58137173353</c:v>
                </c:pt>
                <c:pt idx="11">
                  <c:v>31243.598628557636</c:v>
                </c:pt>
                <c:pt idx="12">
                  <c:v>33558.61588538174</c:v>
                </c:pt>
              </c:numCache>
            </c:numRef>
          </c:val>
          <c:extLst>
            <c:ext xmlns:c16="http://schemas.microsoft.com/office/drawing/2014/chart" uri="{C3380CC4-5D6E-409C-BE32-E72D297353CC}">
              <c16:uniqueId val="{00000001-F6DD-44CE-92B9-F3682B9DB855}"/>
            </c:ext>
          </c:extLst>
        </c:ser>
        <c:dLbls>
          <c:showLegendKey val="0"/>
          <c:showVal val="0"/>
          <c:showCatName val="0"/>
          <c:showSerName val="0"/>
          <c:showPercent val="0"/>
          <c:showBubbleSize val="0"/>
        </c:dLbls>
        <c:gapWidth val="0"/>
        <c:overlap val="100"/>
        <c:axId val="1931228416"/>
        <c:axId val="1760716272"/>
      </c:barChart>
      <c:catAx>
        <c:axId val="193122841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716272"/>
        <c:crosses val="autoZero"/>
        <c:auto val="1"/>
        <c:lblAlgn val="ctr"/>
        <c:lblOffset val="100"/>
        <c:noMultiLvlLbl val="0"/>
      </c:catAx>
      <c:valAx>
        <c:axId val="176071627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228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'Revenue Forecasts'!$B$1</c:f>
              <c:strCache>
                <c:ptCount val="1"/>
                <c:pt idx="0">
                  <c:v>Values</c:v>
                </c:pt>
              </c:strCache>
            </c:strRef>
          </c:tx>
          <c:spPr>
            <a:solidFill>
              <a:schemeClr val="accent1"/>
            </a:solidFill>
            <a:ln w="12700">
              <a:solidFill>
                <a:srgbClr val="FFFFFF"/>
              </a:solidFill>
              <a:prstDash val="solid"/>
            </a:ln>
            <a:effectLst/>
          </c:spPr>
          <c:invertIfNegative val="0"/>
          <c:val>
            <c:numRef>
              <c:f>'Revenue Forecasts'!$B$2:$B$14</c:f>
              <c:numCache>
                <c:formatCode>_-* #,##0_-;\-* #,##0_-;_-* "-"??_-;_-@_-</c:formatCode>
                <c:ptCount val="13"/>
                <c:pt idx="0">
                  <c:v>8831</c:v>
                </c:pt>
                <c:pt idx="1">
                  <c:v>11692.713</c:v>
                </c:pt>
                <c:pt idx="2">
                  <c:v>15794</c:v>
                </c:pt>
                <c:pt idx="3">
                  <c:v>20156</c:v>
                </c:pt>
                <c:pt idx="4">
                  <c:v>24996</c:v>
                </c:pt>
                <c:pt idx="5">
                  <c:v>29698</c:v>
                </c:pt>
              </c:numCache>
            </c:numRef>
          </c:val>
          <c:extLst>
            <c:ext xmlns:c16="http://schemas.microsoft.com/office/drawing/2014/chart" uri="{C3380CC4-5D6E-409C-BE32-E72D297353CC}">
              <c16:uniqueId val="{00000000-AAE3-4F19-B2B7-F13680B57CA7}"/>
            </c:ext>
          </c:extLst>
        </c:ser>
        <c:ser>
          <c:idx val="1"/>
          <c:order val="1"/>
          <c:tx>
            <c:strRef>
              <c:f>'Revenue Forecasts'!$C$1</c:f>
              <c:strCache>
                <c:ptCount val="1"/>
                <c:pt idx="0">
                  <c:v>Forecast</c:v>
                </c:pt>
              </c:strCache>
            </c:strRef>
          </c:tx>
          <c:spPr>
            <a:solidFill>
              <a:schemeClr val="accent2"/>
            </a:solidFill>
            <a:ln w="12700">
              <a:solidFill>
                <a:srgbClr val="FFFFFF"/>
              </a:solidFill>
              <a:prstDash val="solid"/>
            </a:ln>
            <a:effectLst/>
          </c:spPr>
          <c:invertIfNegative val="0"/>
          <c:errBars>
            <c:errBarType val="both"/>
            <c:errValType val="cust"/>
            <c:noEndCap val="0"/>
            <c:plus>
              <c:numRef>
                <c:f>'Revenue Forecasts'!$D$2:$D$14</c:f>
                <c:numCache>
                  <c:formatCode>General</c:formatCode>
                  <c:ptCount val="13"/>
                  <c:pt idx="6">
                    <c:v>1747.9472863454632</c:v>
                  </c:pt>
                  <c:pt idx="7">
                    <c:v>2352.7922382741535</c:v>
                  </c:pt>
                  <c:pt idx="8">
                    <c:v>2832.2167393353566</c:v>
                  </c:pt>
                  <c:pt idx="9">
                    <c:v>3242.3428030895798</c:v>
                  </c:pt>
                  <c:pt idx="10">
                    <c:v>3606.8882724099881</c:v>
                  </c:pt>
                  <c:pt idx="11">
                    <c:v>3938.5309748580867</c:v>
                  </c:pt>
                  <c:pt idx="12">
                    <c:v>4244.9903008357815</c:v>
                  </c:pt>
                </c:numCache>
              </c:numRef>
            </c:plus>
            <c:minus>
              <c:numRef>
                <c:f>'Revenue Forecasts'!$D$2:$D$14</c:f>
                <c:numCache>
                  <c:formatCode>General</c:formatCode>
                  <c:ptCount val="13"/>
                  <c:pt idx="6">
                    <c:v>1747.9472863454632</c:v>
                  </c:pt>
                  <c:pt idx="7">
                    <c:v>2352.7922382741535</c:v>
                  </c:pt>
                  <c:pt idx="8">
                    <c:v>2832.2167393353566</c:v>
                  </c:pt>
                  <c:pt idx="9">
                    <c:v>3242.3428030895798</c:v>
                  </c:pt>
                  <c:pt idx="10">
                    <c:v>3606.8882724099881</c:v>
                  </c:pt>
                  <c:pt idx="11">
                    <c:v>3938.5309748580867</c:v>
                  </c:pt>
                  <c:pt idx="12">
                    <c:v>4244.9903008357815</c:v>
                  </c:pt>
                </c:numCache>
              </c:numRef>
            </c:minus>
            <c:spPr>
              <a:noFill/>
              <a:ln w="9525" cap="flat" cmpd="sng" algn="ctr">
                <a:solidFill>
                  <a:srgbClr val="595959">
                    <a:alpha val="40392"/>
                  </a:srgbClr>
                </a:solidFill>
                <a:prstDash val="solid"/>
                <a:round/>
              </a:ln>
              <a:effectLst/>
            </c:spPr>
          </c:errBars>
          <c:cat>
            <c:numRef>
              <c:f>'Revenue Forecasts'!$A$2:$A$14</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'Revenue Forecasts'!$C$2:$C$14</c:f>
              <c:numCache>
                <c:formatCode>General</c:formatCode>
                <c:ptCount val="13"/>
                <c:pt idx="6" formatCode="_-* #,##0_-;\-* #,##0_-;_-* &quot;-&quot;??_-;_-@_-">
                  <c:v>34000.389551684231</c:v>
                </c:pt>
                <c:pt idx="7" formatCode="_-* #,##0_-;\-* #,##0_-;_-* &quot;-&quot;??_-;_-@_-">
                  <c:v>38343.650919444539</c:v>
                </c:pt>
                <c:pt idx="8" formatCode="_-* #,##0_-;\-* #,##0_-;_-* &quot;-&quot;??_-;_-@_-">
                  <c:v>42686.912287204854</c:v>
                </c:pt>
                <c:pt idx="9" formatCode="_-* #,##0_-;\-* #,##0_-;_-* &quot;-&quot;??_-;_-@_-">
                  <c:v>47030.173654965169</c:v>
                </c:pt>
                <c:pt idx="10" formatCode="_-* #,##0_-;\-* #,##0_-;_-* &quot;-&quot;??_-;_-@_-">
                  <c:v>51373.435022725484</c:v>
                </c:pt>
                <c:pt idx="11" formatCode="_-* #,##0_-;\-* #,##0_-;_-* &quot;-&quot;??_-;_-@_-">
                  <c:v>55716.696390485798</c:v>
                </c:pt>
                <c:pt idx="12" formatCode="_-* #,##0_-;\-* #,##0_-;_-* &quot;-&quot;??_-;_-@_-">
                  <c:v>60059.957758246106</c:v>
                </c:pt>
              </c:numCache>
            </c:numRef>
          </c:val>
          <c:extLst>
            <c:ext xmlns:c16="http://schemas.microsoft.com/office/drawing/2014/chart" uri="{C3380CC4-5D6E-409C-BE32-E72D297353CC}">
              <c16:uniqueId val="{00000001-AAE3-4F19-B2B7-F13680B57CA7}"/>
            </c:ext>
          </c:extLst>
        </c:ser>
        <c:dLbls>
          <c:showLegendKey val="0"/>
          <c:showVal val="0"/>
          <c:showCatName val="0"/>
          <c:showSerName val="0"/>
          <c:showPercent val="0"/>
          <c:showBubbleSize val="0"/>
        </c:dLbls>
        <c:gapWidth val="0"/>
        <c:overlap val="100"/>
        <c:axId val="1424894864"/>
        <c:axId val="1450353360"/>
      </c:barChart>
      <c:catAx>
        <c:axId val="142489486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353360"/>
        <c:crosses val="autoZero"/>
        <c:auto val="1"/>
        <c:lblAlgn val="ctr"/>
        <c:lblOffset val="100"/>
        <c:noMultiLvlLbl val="0"/>
      </c:catAx>
      <c:valAx>
        <c:axId val="145035336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894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a:t>
            </a:r>
            <a:r>
              <a:rPr lang="en-US" baseline="0"/>
              <a:t> Subs and Stock Price Correlation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'Price History vs Q sub addition'!$E$25</c:f>
              <c:strCache>
                <c:ptCount val="1"/>
                <c:pt idx="0">
                  <c:v>Stock Price</c:v>
                </c:pt>
              </c:strCache>
            </c:strRef>
          </c:tx>
          <c:spPr>
            <a:ln w="19050" cap="rnd">
              <a:noFill/>
              <a:round/>
            </a:ln>
            <a:effectLst/>
          </c:spPr>
          <c:marker>
            <c:symbol val="circle"/>
            <c:size val="5"/>
            <c:spPr>
              <a:solidFill>
                <a:schemeClr val="accent1"/>
              </a:solidFill>
              <a:ln w="9525">
                <a:solidFill>
                  <a:schemeClr val="accent1"/>
                </a:solidFill>
              </a:ln>
              <a:effectLst/>
            </c:spPr>
          </c:marker>
          <c:xVal>
            <c:numRef>
              <c:f>'Price History vs Q sub addition'!$B$26:$B$37</c:f>
              <c:numCache>
                <c:formatCode>_-* #,##0_-;\-* #,##0_-;_-* "-"??_-;_-@_-</c:formatCode>
                <c:ptCount val="12"/>
                <c:pt idx="0">
                  <c:v>15766</c:v>
                </c:pt>
                <c:pt idx="1">
                  <c:v>10091</c:v>
                </c:pt>
                <c:pt idx="2">
                  <c:v>2204</c:v>
                </c:pt>
                <c:pt idx="3">
                  <c:v>8512</c:v>
                </c:pt>
                <c:pt idx="4">
                  <c:v>36573</c:v>
                </c:pt>
                <c:pt idx="5">
                  <c:v>3976</c:v>
                </c:pt>
                <c:pt idx="6">
                  <c:v>1541</c:v>
                </c:pt>
                <c:pt idx="7">
                  <c:v>4383</c:v>
                </c:pt>
                <c:pt idx="8">
                  <c:v>8281</c:v>
                </c:pt>
                <c:pt idx="9">
                  <c:v>18181</c:v>
                </c:pt>
                <c:pt idx="10">
                  <c:v>-203</c:v>
                </c:pt>
                <c:pt idx="11">
                  <c:v>-1000</c:v>
                </c:pt>
              </c:numCache>
            </c:numRef>
          </c:xVal>
          <c:yVal>
            <c:numRef>
              <c:f>'Price History vs Q sub addition'!$E$26:$E$37</c:f>
              <c:numCache>
                <c:formatCode>_("$"* #,##0.00_);_("$"* \(#,##0.00\);_("$"* "-"??_);_(@_)</c:formatCode>
                <c:ptCount val="12"/>
                <c:pt idx="0">
                  <c:v>152.5540910454545</c:v>
                </c:pt>
                <c:pt idx="1">
                  <c:v>192.69954672727272</c:v>
                </c:pt>
                <c:pt idx="2">
                  <c:v>208.80714266666664</c:v>
                </c:pt>
                <c:pt idx="3">
                  <c:v>217.96318122727268</c:v>
                </c:pt>
                <c:pt idx="4">
                  <c:v>217.96318122727268</c:v>
                </c:pt>
                <c:pt idx="5">
                  <c:v>233.67434886956519</c:v>
                </c:pt>
                <c:pt idx="6">
                  <c:v>259.01818086363642</c:v>
                </c:pt>
                <c:pt idx="7">
                  <c:v>296.87428357142852</c:v>
                </c:pt>
                <c:pt idx="8">
                  <c:v>332.80772949999994</c:v>
                </c:pt>
                <c:pt idx="9">
                  <c:v>332.80772949999994</c:v>
                </c:pt>
                <c:pt idx="10">
                  <c:v>295.74956608695658</c:v>
                </c:pt>
                <c:pt idx="11">
                  <c:v>218</c:v>
                </c:pt>
              </c:numCache>
            </c:numRef>
          </c:yVal>
          <c:smooth val="0"/>
          <c:extLst>
            <c:ext xmlns:c16="http://schemas.microsoft.com/office/drawing/2014/chart" uri="{C3380CC4-5D6E-409C-BE32-E72D297353CC}">
              <c16:uniqueId val="{00000000-070B-4A14-9B3A-B6E1031C7D06}"/>
            </c:ext>
          </c:extLst>
        </c:ser>
        <c:dLbls>
          <c:showLegendKey val="0"/>
          <c:showVal val="0"/>
          <c:showCatName val="0"/>
          <c:showSerName val="0"/>
          <c:showPercent val="0"/>
          <c:showBubbleSize val="0"/>
        </c:dLbls>
        <c:axId val="1403552704"/>
        <c:axId val="1208965904"/>
      </c:scatterChart>
      <c:valAx>
        <c:axId val="1403552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New</a:t>
                </a:r>
                <a:r>
                  <a:rPr lang="en-CA" baseline="0"/>
                  <a:t> Subscribers</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965904"/>
        <c:crosses val="autoZero"/>
        <c:crossBetween val="midCat"/>
      </c:valAx>
      <c:valAx>
        <c:axId val="1208965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Stock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5527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Total Subs and Stock Price Correlation</a:t>
            </a:r>
            <a:endParaRPr lang="en-C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'Price History vs Q sub addition'!$E$25</c:f>
              <c:strCache>
                <c:ptCount val="1"/>
                <c:pt idx="0">
                  <c:v>Stock Price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'Price History vs Q sub addition'!$D$26:$D$37</c:f>
              <c:numCache>
                <c:formatCode>_-* #,##0_-;\-* #,##0_-;_-* "-"??_-;_-@_-</c:formatCode>
                <c:ptCount val="12"/>
                <c:pt idx="0">
                  <c:v>181703</c:v>
                </c:pt>
                <c:pt idx="1">
                  <c:v>191480</c:v>
                </c:pt>
                <c:pt idx="2">
                  <c:v>195063</c:v>
                </c:pt>
                <c:pt idx="3">
                  <c:v>203236</c:v>
                </c:pt>
                <c:pt idx="4">
                  <c:v>201416</c:v>
                </c:pt>
                <c:pt idx="5">
                  <c:v>207415</c:v>
                </c:pt>
                <c:pt idx="6">
                  <c:v>209397</c:v>
                </c:pt>
                <c:pt idx="7">
                  <c:v>213527</c:v>
                </c:pt>
                <c:pt idx="8">
                  <c:v>221249</c:v>
                </c:pt>
                <c:pt idx="9">
                  <c:v>220863</c:v>
                </c:pt>
                <c:pt idx="10">
                  <c:v>221959</c:v>
                </c:pt>
                <c:pt idx="11">
                  <c:v>220959</c:v>
                </c:pt>
              </c:numCache>
            </c:numRef>
          </c:xVal>
          <c:yVal>
            <c:numRef>
              <c:f>'Price History vs Q sub addition'!$E$26:$E$37</c:f>
              <c:numCache>
                <c:formatCode>_("$"* #,##0.00_);_("$"* \(#,##0.00\);_("$"* "-"??_);_(@_)</c:formatCode>
                <c:ptCount val="12"/>
                <c:pt idx="0">
                  <c:v>152.5540910454545</c:v>
                </c:pt>
                <c:pt idx="1">
                  <c:v>192.69954672727272</c:v>
                </c:pt>
                <c:pt idx="2">
                  <c:v>208.80714266666664</c:v>
                </c:pt>
                <c:pt idx="3">
                  <c:v>217.96318122727268</c:v>
                </c:pt>
                <c:pt idx="4">
                  <c:v>217.96318122727268</c:v>
                </c:pt>
                <c:pt idx="5">
                  <c:v>233.67434886956519</c:v>
                </c:pt>
                <c:pt idx="6">
                  <c:v>259.01818086363642</c:v>
                </c:pt>
                <c:pt idx="7">
                  <c:v>296.87428357142852</c:v>
                </c:pt>
                <c:pt idx="8">
                  <c:v>332.80772949999994</c:v>
                </c:pt>
                <c:pt idx="9">
                  <c:v>332.80772949999994</c:v>
                </c:pt>
                <c:pt idx="10">
                  <c:v>295.74956608695658</c:v>
                </c:pt>
                <c:pt idx="11">
                  <c:v>218</c:v>
                </c:pt>
              </c:numCache>
            </c:numRef>
          </c:yVal>
          <c:smooth val="0"/>
          <c:extLst>
            <c:ext xmlns:c16="http://schemas.microsoft.com/office/drawing/2014/chart" uri="{C3380CC4-5D6E-409C-BE32-E72D297353CC}">
              <c16:uniqueId val="{00000000-ABB3-4DF8-881B-30A9310E2684}"/>
            </c:ext>
          </c:extLst>
        </c:ser>
        <c:dLbls>
          <c:showLegendKey val="0"/>
          <c:showVal val="0"/>
          <c:showCatName val="0"/>
          <c:showSerName val="0"/>
          <c:showPercent val="0"/>
          <c:showBubbleSize val="0"/>
        </c:dLbls>
        <c:axId val="1351971904"/>
        <c:axId val="1353152288"/>
      </c:scatterChart>
      <c:valAx>
        <c:axId val="1351971904"/>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52288"/>
        <c:crosses val="autoZero"/>
        <c:crossBetween val="midCat"/>
      </c:valAx>
      <c:valAx>
        <c:axId val="135315228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9719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Quaterly</a:t>
            </a:r>
            <a:r>
              <a:rPr lang="en-CA" baseline="0"/>
              <a:t> </a:t>
            </a:r>
            <a:r>
              <a:rPr lang="en-CA"/>
              <a:t>Netflix</a:t>
            </a:r>
            <a:r>
              <a:rPr lang="en-CA" baseline="0"/>
              <a:t> Total Subscribers, New Subscribers and Stock Price Over Time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4"/>
          <c:order val="4"/>
          <c:spPr>
            <a:solidFill>
              <a:schemeClr val="accent5"/>
            </a:solidFill>
            <a:ln>
              <a:noFill/>
            </a:ln>
            <a:effectLst/>
          </c:spPr>
          <c:invertIfNegative val="0"/>
          <c:cat>
            <c:numRef>
              <c:f>'Price History vs Q sub addition'!$A$26:$A$37</c:f>
              <c:numCache>
                <c:formatCode>m/d/yyyy</c:formatCode>
                <c:ptCount val="12"/>
                <c:pt idx="0">
                  <c:v>43921</c:v>
                </c:pt>
                <c:pt idx="1">
                  <c:v>44012</c:v>
                </c:pt>
                <c:pt idx="2">
                  <c:v>44104</c:v>
                </c:pt>
                <c:pt idx="3">
                  <c:v>44196</c:v>
                </c:pt>
                <c:pt idx="4">
                  <c:v>44196</c:v>
                </c:pt>
                <c:pt idx="5">
                  <c:v>44286</c:v>
                </c:pt>
                <c:pt idx="6">
                  <c:v>44377</c:v>
                </c:pt>
                <c:pt idx="7">
                  <c:v>44469</c:v>
                </c:pt>
                <c:pt idx="8">
                  <c:v>44561</c:v>
                </c:pt>
                <c:pt idx="9">
                  <c:v>44561</c:v>
                </c:pt>
                <c:pt idx="10">
                  <c:v>44651</c:v>
                </c:pt>
                <c:pt idx="11">
                  <c:v>44675</c:v>
                </c:pt>
              </c:numCache>
            </c:numRef>
          </c:cat>
          <c:val>
            <c:numRef>
              <c:f>'Price History vs Q sub addition'!$F$26:$F$37</c:f>
              <c:numCache>
                <c:formatCode>_(* #,##0.00_);_(* \(#,##0.00\);_(* "-"??_);_(@_)</c:formatCode>
                <c:ptCount val="12"/>
                <c:pt idx="0">
                  <c:v>0</c:v>
                </c:pt>
                <c:pt idx="1">
                  <c:v>0.2428706279809221</c:v>
                </c:pt>
                <c:pt idx="2">
                  <c:v>0.33187599364069953</c:v>
                </c:pt>
                <c:pt idx="3">
                  <c:v>0.53490162957074727</c:v>
                </c:pt>
                <c:pt idx="4">
                  <c:v>0.48969097774244835</c:v>
                </c:pt>
                <c:pt idx="5">
                  <c:v>0.63871224165341811</c:v>
                </c:pt>
                <c:pt idx="6">
                  <c:v>0.68794713831478538</c:v>
                </c:pt>
                <c:pt idx="7">
                  <c:v>0.79054054054054057</c:v>
                </c:pt>
                <c:pt idx="8">
                  <c:v>0.98236287758346585</c:v>
                </c:pt>
                <c:pt idx="9">
                  <c:v>0.9727742448330684</c:v>
                </c:pt>
                <c:pt idx="10">
                  <c:v>1</c:v>
                </c:pt>
                <c:pt idx="11">
                  <c:v>0.97515898251192368</c:v>
                </c:pt>
              </c:numCache>
            </c:numRef>
          </c:val>
          <c:extLst>
            <c:ext xmlns:c16="http://schemas.microsoft.com/office/drawing/2014/chart" uri="{C3380CC4-5D6E-409C-BE32-E72D297353CC}">
              <c16:uniqueId val="{00000004-D15A-4AEA-986D-0A65164B6213}"/>
            </c:ext>
          </c:extLst>
        </c:ser>
        <c:dLbls>
          <c:showLegendKey val="0"/>
          <c:showVal val="0"/>
          <c:showCatName val="0"/>
          <c:showSerName val="0"/>
          <c:showPercent val="0"/>
          <c:showBubbleSize val="0"/>
        </c:dLbls>
        <c:gapWidth val="219"/>
        <c:overlap val="-27"/>
        <c:axId val="1398445696"/>
        <c:axId val="1353210112"/>
        <c:extLst>
          <c:ext xmlns:c15="http://schemas.microsoft.com/office/drawing/2012/chart" uri="{02D57815-91ED-43cb-92C2-25804820EDAC}">
            <c15:filteredBarSeries>
              <c15:ser>
                <c:idx val="0"/>
                <c:order val="0"/>
                <c:spPr>
                  <a:solidFill>
                    <a:schemeClr val="accent1"/>
                  </a:solidFill>
                  <a:ln>
                    <a:noFill/>
                  </a:ln>
                  <a:effectLst/>
                </c:spPr>
                <c:invertIfNegative val="0"/>
                <c:cat>
                  <c:numRef>
                    <c:extLst>
                      <c:ext uri="{02D57815-91ED-43cb-92C2-25804820EDAC}">
                        <c15:formulaRef>
                          <c15:sqref>'Price History vs Q sub addition'!$A$26:$A$37</c15:sqref>
                        </c15:formulaRef>
                      </c:ext>
                    </c:extLst>
                    <c:numCache>
                      <c:formatCode>m/d/yyyy</c:formatCode>
                      <c:ptCount val="12"/>
                      <c:pt idx="0">
                        <c:v>43921</c:v>
                      </c:pt>
                      <c:pt idx="1">
                        <c:v>44012</c:v>
                      </c:pt>
                      <c:pt idx="2">
                        <c:v>44104</c:v>
                      </c:pt>
                      <c:pt idx="3">
                        <c:v>44196</c:v>
                      </c:pt>
                      <c:pt idx="4">
                        <c:v>44196</c:v>
                      </c:pt>
                      <c:pt idx="5">
                        <c:v>44286</c:v>
                      </c:pt>
                      <c:pt idx="6">
                        <c:v>44377</c:v>
                      </c:pt>
                      <c:pt idx="7">
                        <c:v>44469</c:v>
                      </c:pt>
                      <c:pt idx="8">
                        <c:v>44561</c:v>
                      </c:pt>
                      <c:pt idx="9">
                        <c:v>44561</c:v>
                      </c:pt>
                      <c:pt idx="10">
                        <c:v>44651</c:v>
                      </c:pt>
                      <c:pt idx="11">
                        <c:v>44675</c:v>
                      </c:pt>
                    </c:numCache>
                  </c:numRef>
                </c:cat>
                <c:val>
                  <c:numRef>
                    <c:extLst>
                      <c:ext uri="{02D57815-91ED-43cb-92C2-25804820EDAC}">
                        <c15:formulaRef>
                          <c15:sqref>'Price History vs Q sub addition'!$B$26:$B$37</c15:sqref>
                        </c15:formulaRef>
                      </c:ext>
                    </c:extLst>
                    <c:numCache>
                      <c:formatCode>_-* #,##0_-;\-* #,##0_-;_-* "-"??_-;_-@_-</c:formatCode>
                      <c:ptCount val="12"/>
                      <c:pt idx="0">
                        <c:v>15766</c:v>
                      </c:pt>
                      <c:pt idx="1">
                        <c:v>10091</c:v>
                      </c:pt>
                      <c:pt idx="2">
                        <c:v>2204</c:v>
                      </c:pt>
                      <c:pt idx="3">
                        <c:v>8512</c:v>
                      </c:pt>
                      <c:pt idx="4">
                        <c:v>36573</c:v>
                      </c:pt>
                      <c:pt idx="5">
                        <c:v>3976</c:v>
                      </c:pt>
                      <c:pt idx="6">
                        <c:v>1541</c:v>
                      </c:pt>
                      <c:pt idx="7">
                        <c:v>4383</c:v>
                      </c:pt>
                      <c:pt idx="8">
                        <c:v>8281</c:v>
                      </c:pt>
                      <c:pt idx="9">
                        <c:v>18181</c:v>
                      </c:pt>
                      <c:pt idx="10">
                        <c:v>-203</c:v>
                      </c:pt>
                      <c:pt idx="11">
                        <c:v>-1000</c:v>
                      </c:pt>
                    </c:numCache>
                  </c:numRef>
                </c:val>
                <c:extLst>
                  <c:ext xmlns:c16="http://schemas.microsoft.com/office/drawing/2014/chart" uri="{C3380CC4-5D6E-409C-BE32-E72D297353CC}">
                    <c16:uniqueId val="{00000000-D15A-4AEA-986D-0A65164B6213}"/>
                  </c:ext>
                </c:extLst>
              </c15:ser>
            </c15:filteredBarSeries>
            <c15:filteredBarSeries>
              <c15:ser>
                <c:idx val="2"/>
                <c:order val="2"/>
                <c:spPr>
                  <a:solidFill>
                    <a:schemeClr val="accent3"/>
                  </a:solidFill>
                  <a:ln>
                    <a:noFill/>
                  </a:ln>
                  <a:effectLst/>
                </c:spPr>
                <c:invertIfNegative val="0"/>
                <c:cat>
                  <c:numRef>
                    <c:extLst>
                      <c:ext xmlns:c15="http://schemas.microsoft.com/office/drawing/2012/chart" uri="{02D57815-91ED-43cb-92C2-25804820EDAC}">
                        <c15:formulaRef>
                          <c15:sqref>'Price History vs Q sub addition'!$A$26:$A$37</c15:sqref>
                        </c15:formulaRef>
                      </c:ext>
                    </c:extLst>
                    <c:numCache>
                      <c:formatCode>m/d/yyyy</c:formatCode>
                      <c:ptCount val="12"/>
                      <c:pt idx="0">
                        <c:v>43921</c:v>
                      </c:pt>
                      <c:pt idx="1">
                        <c:v>44012</c:v>
                      </c:pt>
                      <c:pt idx="2">
                        <c:v>44104</c:v>
                      </c:pt>
                      <c:pt idx="3">
                        <c:v>44196</c:v>
                      </c:pt>
                      <c:pt idx="4">
                        <c:v>44196</c:v>
                      </c:pt>
                      <c:pt idx="5">
                        <c:v>44286</c:v>
                      </c:pt>
                      <c:pt idx="6">
                        <c:v>44377</c:v>
                      </c:pt>
                      <c:pt idx="7">
                        <c:v>44469</c:v>
                      </c:pt>
                      <c:pt idx="8">
                        <c:v>44561</c:v>
                      </c:pt>
                      <c:pt idx="9">
                        <c:v>44561</c:v>
                      </c:pt>
                      <c:pt idx="10">
                        <c:v>44651</c:v>
                      </c:pt>
                      <c:pt idx="11">
                        <c:v>44675</c:v>
                      </c:pt>
                    </c:numCache>
                  </c:numRef>
                </c:cat>
                <c:val>
                  <c:numRef>
                    <c:extLst>
                      <c:ext xmlns:c15="http://schemas.microsoft.com/office/drawing/2012/chart" uri="{02D57815-91ED-43cb-92C2-25804820EDAC}">
                        <c15:formulaRef>
                          <c15:sqref>'Price History vs Q sub addition'!$D$26:$D$37</c15:sqref>
                        </c15:formulaRef>
                      </c:ext>
                    </c:extLst>
                    <c:numCache>
                      <c:formatCode>_-* #,##0_-;\-* #,##0_-;_-* "-"??_-;_-@_-</c:formatCode>
                      <c:ptCount val="12"/>
                      <c:pt idx="0">
                        <c:v>181703</c:v>
                      </c:pt>
                      <c:pt idx="1">
                        <c:v>191480</c:v>
                      </c:pt>
                      <c:pt idx="2">
                        <c:v>195063</c:v>
                      </c:pt>
                      <c:pt idx="3">
                        <c:v>203236</c:v>
                      </c:pt>
                      <c:pt idx="4">
                        <c:v>201416</c:v>
                      </c:pt>
                      <c:pt idx="5">
                        <c:v>207415</c:v>
                      </c:pt>
                      <c:pt idx="6">
                        <c:v>209397</c:v>
                      </c:pt>
                      <c:pt idx="7">
                        <c:v>213527</c:v>
                      </c:pt>
                      <c:pt idx="8">
                        <c:v>221249</c:v>
                      </c:pt>
                      <c:pt idx="9">
                        <c:v>220863</c:v>
                      </c:pt>
                      <c:pt idx="10">
                        <c:v>221959</c:v>
                      </c:pt>
                      <c:pt idx="11">
                        <c:v>220959</c:v>
                      </c:pt>
                    </c:numCache>
                  </c:numRef>
                </c:val>
                <c:extLst xmlns:c15="http://schemas.microsoft.com/office/drawing/2012/chart">
                  <c:ext xmlns:c16="http://schemas.microsoft.com/office/drawing/2014/chart" uri="{C3380CC4-5D6E-409C-BE32-E72D297353CC}">
                    <c16:uniqueId val="{00000002-D15A-4AEA-986D-0A65164B6213}"/>
                  </c:ext>
                </c:extLst>
              </c15:ser>
            </c15:filteredBarSeries>
          </c:ext>
        </c:extLst>
      </c:barChart>
      <c:lineChart>
        <c:grouping val="standard"/>
        <c:varyColors val="0"/>
        <c:ser>
          <c:idx val="1"/>
          <c:order val="1"/>
          <c:spPr>
            <a:ln w="28575" cap="rnd">
              <a:solidFill>
                <a:schemeClr val="accent2"/>
              </a:solidFill>
              <a:round/>
            </a:ln>
            <a:effectLst/>
          </c:spPr>
          <c:marker>
            <c:symbol val="none"/>
          </c:marker>
          <c:cat>
            <c:numRef>
              <c:f>'Price History vs Q sub addition'!$A$26:$A$37</c:f>
              <c:numCache>
                <c:formatCode>m/d/yyyy</c:formatCode>
                <c:ptCount val="12"/>
                <c:pt idx="0">
                  <c:v>43921</c:v>
                </c:pt>
                <c:pt idx="1">
                  <c:v>44012</c:v>
                </c:pt>
                <c:pt idx="2">
                  <c:v>44104</c:v>
                </c:pt>
                <c:pt idx="3">
                  <c:v>44196</c:v>
                </c:pt>
                <c:pt idx="4">
                  <c:v>44196</c:v>
                </c:pt>
                <c:pt idx="5">
                  <c:v>44286</c:v>
                </c:pt>
                <c:pt idx="6">
                  <c:v>44377</c:v>
                </c:pt>
                <c:pt idx="7">
                  <c:v>44469</c:v>
                </c:pt>
                <c:pt idx="8">
                  <c:v>44561</c:v>
                </c:pt>
                <c:pt idx="9">
                  <c:v>44561</c:v>
                </c:pt>
                <c:pt idx="10">
                  <c:v>44651</c:v>
                </c:pt>
                <c:pt idx="11">
                  <c:v>44675</c:v>
                </c:pt>
              </c:numCache>
            </c:numRef>
          </c:cat>
          <c:val>
            <c:numRef>
              <c:f>'Price History vs Q sub addition'!$C$26:$C$37</c:f>
              <c:numCache>
                <c:formatCode>_(* #,##0.00_);_(* \(#,##0.00\);_(* "-"??_);_(@_)</c:formatCode>
                <c:ptCount val="12"/>
                <c:pt idx="0">
                  <c:v>0.44622468261783726</c:v>
                </c:pt>
                <c:pt idx="1">
                  <c:v>0.2951853724749155</c:v>
                </c:pt>
                <c:pt idx="2">
                  <c:v>8.527399994677029E-2</c:v>
                </c:pt>
                <c:pt idx="3">
                  <c:v>0.25316051419902591</c:v>
                </c:pt>
                <c:pt idx="4">
                  <c:v>1</c:v>
                </c:pt>
                <c:pt idx="5">
                  <c:v>0.13243552551033988</c:v>
                </c:pt>
                <c:pt idx="6">
                  <c:v>6.7628350145050961E-2</c:v>
                </c:pt>
                <c:pt idx="7">
                  <c:v>0.14326777207036967</c:v>
                </c:pt>
                <c:pt idx="8">
                  <c:v>0.24701248236765763</c:v>
                </c:pt>
                <c:pt idx="9">
                  <c:v>0.51049956085486914</c:v>
                </c:pt>
                <c:pt idx="10">
                  <c:v>2.1212040561041173E-2</c:v>
                </c:pt>
                <c:pt idx="11">
                  <c:v>0</c:v>
                </c:pt>
              </c:numCache>
            </c:numRef>
          </c:val>
          <c:smooth val="0"/>
          <c:extLst>
            <c:ext xmlns:c16="http://schemas.microsoft.com/office/drawing/2014/chart" uri="{C3380CC4-5D6E-409C-BE32-E72D297353CC}">
              <c16:uniqueId val="{00000001-D15A-4AEA-986D-0A65164B6213}"/>
            </c:ext>
          </c:extLst>
        </c:ser>
        <c:dLbls>
          <c:showLegendKey val="0"/>
          <c:showVal val="0"/>
          <c:showCatName val="0"/>
          <c:showSerName val="0"/>
          <c:showPercent val="0"/>
          <c:showBubbleSize val="0"/>
        </c:dLbls>
        <c:marker val="1"/>
        <c:smooth val="0"/>
        <c:axId val="1398445696"/>
        <c:axId val="1353210112"/>
      </c:lineChart>
      <c:lineChart>
        <c:grouping val="standard"/>
        <c:varyColors val="0"/>
        <c:ser>
          <c:idx val="3"/>
          <c:order val="3"/>
          <c:spPr>
            <a:ln w="28575" cap="rnd">
              <a:solidFill>
                <a:schemeClr val="accent4"/>
              </a:solidFill>
              <a:round/>
            </a:ln>
            <a:effectLst/>
          </c:spPr>
          <c:marker>
            <c:symbol val="none"/>
          </c:marker>
          <c:cat>
            <c:numRef>
              <c:f>'Price History vs Q sub addition'!$A$26:$A$37</c:f>
              <c:numCache>
                <c:formatCode>m/d/yyyy</c:formatCode>
                <c:ptCount val="12"/>
                <c:pt idx="0">
                  <c:v>43921</c:v>
                </c:pt>
                <c:pt idx="1">
                  <c:v>44012</c:v>
                </c:pt>
                <c:pt idx="2">
                  <c:v>44104</c:v>
                </c:pt>
                <c:pt idx="3">
                  <c:v>44196</c:v>
                </c:pt>
                <c:pt idx="4">
                  <c:v>44196</c:v>
                </c:pt>
                <c:pt idx="5">
                  <c:v>44286</c:v>
                </c:pt>
                <c:pt idx="6">
                  <c:v>44377</c:v>
                </c:pt>
                <c:pt idx="7">
                  <c:v>44469</c:v>
                </c:pt>
                <c:pt idx="8">
                  <c:v>44561</c:v>
                </c:pt>
                <c:pt idx="9">
                  <c:v>44561</c:v>
                </c:pt>
                <c:pt idx="10">
                  <c:v>44651</c:v>
                </c:pt>
                <c:pt idx="11">
                  <c:v>44675</c:v>
                </c:pt>
              </c:numCache>
            </c:numRef>
          </c:cat>
          <c:val>
            <c:numRef>
              <c:f>'Price History vs Q sub addition'!$E$26:$E$37</c:f>
              <c:numCache>
                <c:formatCode>_("$"* #,##0.00_);_("$"* \(#,##0.00\);_("$"* "-"??_);_(@_)</c:formatCode>
                <c:ptCount val="12"/>
                <c:pt idx="0">
                  <c:v>152.5540910454545</c:v>
                </c:pt>
                <c:pt idx="1">
                  <c:v>192.69954672727272</c:v>
                </c:pt>
                <c:pt idx="2">
                  <c:v>208.80714266666664</c:v>
                </c:pt>
                <c:pt idx="3">
                  <c:v>217.96318122727268</c:v>
                </c:pt>
                <c:pt idx="4">
                  <c:v>217.96318122727268</c:v>
                </c:pt>
                <c:pt idx="5">
                  <c:v>233.67434886956519</c:v>
                </c:pt>
                <c:pt idx="6">
                  <c:v>259.01818086363642</c:v>
                </c:pt>
                <c:pt idx="7">
                  <c:v>296.87428357142852</c:v>
                </c:pt>
                <c:pt idx="8">
                  <c:v>332.80772949999994</c:v>
                </c:pt>
                <c:pt idx="9">
                  <c:v>332.80772949999994</c:v>
                </c:pt>
                <c:pt idx="10">
                  <c:v>295.74956608695658</c:v>
                </c:pt>
                <c:pt idx="11">
                  <c:v>218</c:v>
                </c:pt>
              </c:numCache>
            </c:numRef>
          </c:val>
          <c:smooth val="0"/>
          <c:extLst>
            <c:ext xmlns:c16="http://schemas.microsoft.com/office/drawing/2014/chart" uri="{C3380CC4-5D6E-409C-BE32-E72D297353CC}">
              <c16:uniqueId val="{00000003-D15A-4AEA-986D-0A65164B6213}"/>
            </c:ext>
          </c:extLst>
        </c:ser>
        <c:dLbls>
          <c:showLegendKey val="0"/>
          <c:showVal val="0"/>
          <c:showCatName val="0"/>
          <c:showSerName val="0"/>
          <c:showPercent val="0"/>
          <c:showBubbleSize val="0"/>
        </c:dLbls>
        <c:marker val="1"/>
        <c:smooth val="0"/>
        <c:axId val="1398442096"/>
        <c:axId val="1353225088"/>
        <c:extLst>
          <c:ext xmlns:c15="http://schemas.microsoft.com/office/drawing/2012/chart" uri="{02D57815-91ED-43cb-92C2-25804820EDAC}">
            <c15:filteredLineSeries>
              <c15:ser>
                <c:idx val="5"/>
                <c:order val="5"/>
                <c:spPr>
                  <a:ln w="28575" cap="rnd">
                    <a:solidFill>
                      <a:schemeClr val="accent6"/>
                    </a:solidFill>
                    <a:round/>
                  </a:ln>
                  <a:effectLst/>
                </c:spPr>
                <c:marker>
                  <c:symbol val="none"/>
                </c:marker>
                <c:cat>
                  <c:numRef>
                    <c:extLst>
                      <c:ext uri="{02D57815-91ED-43cb-92C2-25804820EDAC}">
                        <c15:formulaRef>
                          <c15:sqref>'Price History vs Q sub addition'!$A$26:$A$37</c15:sqref>
                        </c15:formulaRef>
                      </c:ext>
                    </c:extLst>
                    <c:numCache>
                      <c:formatCode>m/d/yyyy</c:formatCode>
                      <c:ptCount val="12"/>
                      <c:pt idx="0">
                        <c:v>43921</c:v>
                      </c:pt>
                      <c:pt idx="1">
                        <c:v>44012</c:v>
                      </c:pt>
                      <c:pt idx="2">
                        <c:v>44104</c:v>
                      </c:pt>
                      <c:pt idx="3">
                        <c:v>44196</c:v>
                      </c:pt>
                      <c:pt idx="4">
                        <c:v>44196</c:v>
                      </c:pt>
                      <c:pt idx="5">
                        <c:v>44286</c:v>
                      </c:pt>
                      <c:pt idx="6">
                        <c:v>44377</c:v>
                      </c:pt>
                      <c:pt idx="7">
                        <c:v>44469</c:v>
                      </c:pt>
                      <c:pt idx="8">
                        <c:v>44561</c:v>
                      </c:pt>
                      <c:pt idx="9">
                        <c:v>44561</c:v>
                      </c:pt>
                      <c:pt idx="10">
                        <c:v>44651</c:v>
                      </c:pt>
                      <c:pt idx="11">
                        <c:v>44675</c:v>
                      </c:pt>
                    </c:numCache>
                  </c:numRef>
                </c:cat>
                <c:val>
                  <c:numRef>
                    <c:extLst>
                      <c:ext uri="{02D57815-91ED-43cb-92C2-25804820EDAC}">
                        <c15:formulaRef>
                          <c15:sqref>'Price History vs Q sub addition'!$G$26:$G$37</c15:sqref>
                        </c15:formulaRef>
                      </c:ext>
                    </c:extLst>
                    <c:numCache>
                      <c:formatCode>0.0%</c:formatCode>
                      <c:ptCount val="12"/>
                      <c:pt idx="1">
                        <c:v>5.3807587106431853E-2</c:v>
                      </c:pt>
                      <c:pt idx="2">
                        <c:v>1.8712137037810717E-2</c:v>
                      </c:pt>
                      <c:pt idx="3">
                        <c:v>4.1899283821124511E-2</c:v>
                      </c:pt>
                      <c:pt idx="4">
                        <c:v>-8.9551063787911556E-3</c:v>
                      </c:pt>
                      <c:pt idx="5">
                        <c:v>2.9784128371132423E-2</c:v>
                      </c:pt>
                      <c:pt idx="6">
                        <c:v>9.5557216209050111E-3</c:v>
                      </c:pt>
                      <c:pt idx="7">
                        <c:v>1.9723300715865033E-2</c:v>
                      </c:pt>
                      <c:pt idx="8">
                        <c:v>3.6164044828054465E-2</c:v>
                      </c:pt>
                      <c:pt idx="9">
                        <c:v>-1.7446406537430237E-3</c:v>
                      </c:pt>
                      <c:pt idx="10">
                        <c:v>4.9623522273989362E-3</c:v>
                      </c:pt>
                      <c:pt idx="11">
                        <c:v>-4.5053365711685833E-3</c:v>
                      </c:pt>
                    </c:numCache>
                  </c:numRef>
                </c:val>
                <c:smooth val="0"/>
                <c:extLst>
                  <c:ext xmlns:c16="http://schemas.microsoft.com/office/drawing/2014/chart" uri="{C3380CC4-5D6E-409C-BE32-E72D297353CC}">
                    <c16:uniqueId val="{00000005-D15A-4AEA-986D-0A65164B6213}"/>
                  </c:ext>
                </c:extLst>
              </c15:ser>
            </c15:filteredLineSeries>
          </c:ext>
        </c:extLst>
      </c:lineChart>
      <c:dateAx>
        <c:axId val="139844569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10112"/>
        <c:crosses val="autoZero"/>
        <c:auto val="1"/>
        <c:lblOffset val="100"/>
        <c:baseTimeUnit val="days"/>
      </c:dateAx>
      <c:valAx>
        <c:axId val="135321011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445696"/>
        <c:crosses val="autoZero"/>
        <c:crossBetween val="between"/>
      </c:valAx>
      <c:valAx>
        <c:axId val="1353225088"/>
        <c:scaling>
          <c:orientation val="minMax"/>
        </c:scaling>
        <c:delete val="0"/>
        <c:axPos val="r"/>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442096"/>
        <c:crosses val="max"/>
        <c:crossBetween val="between"/>
      </c:valAx>
      <c:dateAx>
        <c:axId val="1398442096"/>
        <c:scaling>
          <c:orientation val="minMax"/>
        </c:scaling>
        <c:delete val="1"/>
        <c:axPos val="b"/>
        <c:numFmt formatCode="m/d/yyyy" sourceLinked="1"/>
        <c:majorTickMark val="out"/>
        <c:minorTickMark val="none"/>
        <c:tickLblPos val="nextTo"/>
        <c:crossAx val="1353225088"/>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plotSurface>
          <cx:spPr>
            <a:noFill/>
            <a:ln>
              <a:noFill/>
            </a:ln>
          </cx:spPr>
        </cx:plotSurface>
        <cx:series layoutId="waterfall" uniqueId="{8DE9D384-90CA-46AD-9838-15A56339DF8B}" formatIdx="1">
          <cx:spPr>
            <a:solidFill>
              <a:schemeClr val="bg2"/>
            </a:solidFill>
          </cx:spPr>
          <cx:dataPt idx="0">
            <cx:spPr>
              <a:solidFill>
                <a:srgbClr val="4472C4">
                  <a:lumMod val="40000"/>
                  <a:lumOff val="60000"/>
                </a:srgbClr>
              </a:solidFill>
            </cx:spPr>
          </cx:dataPt>
          <cx:dataPt idx="1">
            <cx:spPr>
              <a:solidFill>
                <a:srgbClr val="FFC000">
                  <a:lumMod val="40000"/>
                  <a:lumOff val="60000"/>
                </a:srgbClr>
              </a:solidFill>
            </cx:spPr>
          </cx:dataPt>
          <cx:dataPt idx="2">
            <cx:spPr>
              <a:solidFill>
                <a:srgbClr val="70AD47">
                  <a:lumMod val="40000"/>
                  <a:lumOff val="60000"/>
                </a:srgbClr>
              </a:solidFill>
            </cx:spPr>
          </cx:dataPt>
          <cx:dataLabels pos="inEnd">
            <cx:numFmt formatCode="$#,##0.00" sourceLinked="0"/>
            <cx:txPr>
              <a:bodyPr spcFirstLastPara="1" vertOverflow="ellipsis" horzOverflow="overflow" wrap="square" lIns="0" tIns="0" rIns="0" bIns="0" anchor="ctr" anchorCtr="1"/>
              <a:lstStyle/>
              <a:p>
                <a:pPr algn="ctr" rtl="0">
                  <a:defRPr sz="1100">
                    <a:solidFill>
                      <a:schemeClr val="tx1"/>
                    </a:solidFill>
                    <a:latin typeface="Cambria" panose="02040503050406030204" pitchFamily="18" charset="0"/>
                    <a:ea typeface="Cambria" panose="02040503050406030204" pitchFamily="18" charset="0"/>
                    <a:cs typeface="Cambria" panose="02040503050406030204" pitchFamily="18" charset="0"/>
                  </a:defRPr>
                </a:pPr>
                <a:endParaRPr lang="en-US" sz="1100" b="0" i="0" u="none" strike="noStrike" baseline="0">
                  <a:solidFill>
                    <a:schemeClr val="tx1"/>
                  </a:solidFill>
                  <a:latin typeface="Cambria" panose="02040503050406030204" pitchFamily="18" charset="0"/>
                  <a:ea typeface="Cambria" panose="02040503050406030204" pitchFamily="18" charset="0"/>
                </a:endParaRPr>
              </a:p>
            </cx:txPr>
            <cx:visibility seriesName="0" categoryName="0" value="1"/>
            <cx:separator>, </cx:separator>
          </cx:dataLabels>
          <cx:dataId val="0"/>
          <cx:layoutPr>
            <cx:visibility connectorLines="1"/>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sz="1100">
                <a:latin typeface="Cambria" panose="02040503050406030204" pitchFamily="18" charset="0"/>
                <a:ea typeface="Cambria" panose="02040503050406030204" pitchFamily="18" charset="0"/>
                <a:cs typeface="Cambria" panose="02040503050406030204" pitchFamily="18" charset="0"/>
              </a:defRPr>
            </a:pPr>
            <a:endParaRPr lang="en-US" sz="1100" b="0" i="0" u="none" strike="noStrike" baseline="0">
              <a:solidFill>
                <a:sysClr val="windowText" lastClr="000000">
                  <a:lumMod val="65000"/>
                  <a:lumOff val="35000"/>
                </a:sysClr>
              </a:solidFill>
              <a:latin typeface="Cambria" panose="02040503050406030204" pitchFamily="18" charset="0"/>
              <a:ea typeface="Cambria" panose="02040503050406030204" pitchFamily="18" charset="0"/>
            </a:endParaRPr>
          </a:p>
        </cx:txPr>
      </cx:axis>
      <cx:axis id="1" hidden="1">
        <cx:valScaling/>
        <cx:tickLabels/>
        <cx:numFmt formatCode="$#,##0.00" sourceLinked="0"/>
        <cx:txPr>
          <a:bodyPr spcFirstLastPara="1" vertOverflow="ellipsis" horzOverflow="overflow" wrap="square" lIns="0" tIns="0" rIns="0" bIns="0" anchor="ctr" anchorCtr="1"/>
          <a:lstStyle/>
          <a:p>
            <a:pPr algn="ctr" rtl="0">
              <a:defRPr sz="800">
                <a:latin typeface="Open Sans" panose="020B0606030504020204" pitchFamily="34" charset="0"/>
                <a:ea typeface="Open Sans" panose="020B0606030504020204" pitchFamily="34" charset="0"/>
                <a:cs typeface="Open Sans" panose="020B0606030504020204" pitchFamily="34" charset="0"/>
              </a:defRPr>
            </a:pPr>
            <a:endParaRPr lang="en-US" sz="800" b="0" i="0" u="none" strike="noStrike" baseline="0">
              <a:solidFill>
                <a:sysClr val="windowText" lastClr="000000">
                  <a:lumMod val="65000"/>
                  <a:lumOff val="35000"/>
                </a:sysClr>
              </a:solidFill>
              <a:latin typeface="Open Sans" panose="020B0606030504020204" pitchFamily="34" charset="0"/>
              <a:ea typeface="Open Sans" panose="020B0606030504020204" pitchFamily="34" charset="0"/>
              <a:cs typeface="Open Sans" panose="020B0606030504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6.xml.rels><?xml version="1.0" encoding="UTF-8" standalone="yes"?>
<Relationships xmlns="http://schemas.openxmlformats.org/package/2006/relationships"><Relationship Id="rId117" Type="http://schemas.openxmlformats.org/officeDocument/2006/relationships/image" Target="../media/image117.png"/><Relationship Id="rId21" Type="http://schemas.openxmlformats.org/officeDocument/2006/relationships/image" Target="../media/image21.png"/><Relationship Id="rId42" Type="http://schemas.openxmlformats.org/officeDocument/2006/relationships/image" Target="../media/image42.png"/><Relationship Id="rId63" Type="http://schemas.openxmlformats.org/officeDocument/2006/relationships/image" Target="../media/image63.png"/><Relationship Id="rId84" Type="http://schemas.openxmlformats.org/officeDocument/2006/relationships/image" Target="../media/image84.png"/><Relationship Id="rId138" Type="http://schemas.openxmlformats.org/officeDocument/2006/relationships/image" Target="../media/image138.png"/><Relationship Id="rId107" Type="http://schemas.openxmlformats.org/officeDocument/2006/relationships/image" Target="../media/image107.png"/><Relationship Id="rId11" Type="http://schemas.openxmlformats.org/officeDocument/2006/relationships/image" Target="../media/image11.png"/><Relationship Id="rId32" Type="http://schemas.openxmlformats.org/officeDocument/2006/relationships/image" Target="../media/image32.png"/><Relationship Id="rId53" Type="http://schemas.openxmlformats.org/officeDocument/2006/relationships/image" Target="../media/image53.png"/><Relationship Id="rId74" Type="http://schemas.openxmlformats.org/officeDocument/2006/relationships/image" Target="../media/image74.png"/><Relationship Id="rId128" Type="http://schemas.openxmlformats.org/officeDocument/2006/relationships/image" Target="../media/image128.png"/><Relationship Id="rId149" Type="http://schemas.openxmlformats.org/officeDocument/2006/relationships/image" Target="../media/image149.png"/><Relationship Id="rId5" Type="http://schemas.openxmlformats.org/officeDocument/2006/relationships/image" Target="../media/image5.png"/><Relationship Id="rId95" Type="http://schemas.openxmlformats.org/officeDocument/2006/relationships/image" Target="../media/image95.png"/><Relationship Id="rId22" Type="http://schemas.openxmlformats.org/officeDocument/2006/relationships/image" Target="../media/image22.png"/><Relationship Id="rId27" Type="http://schemas.openxmlformats.org/officeDocument/2006/relationships/image" Target="../media/image27.png"/><Relationship Id="rId43" Type="http://schemas.openxmlformats.org/officeDocument/2006/relationships/image" Target="../media/image43.png"/><Relationship Id="rId48" Type="http://schemas.openxmlformats.org/officeDocument/2006/relationships/image" Target="../media/image48.png"/><Relationship Id="rId64" Type="http://schemas.openxmlformats.org/officeDocument/2006/relationships/image" Target="../media/image64.png"/><Relationship Id="rId69" Type="http://schemas.openxmlformats.org/officeDocument/2006/relationships/image" Target="../media/image69.png"/><Relationship Id="rId113" Type="http://schemas.openxmlformats.org/officeDocument/2006/relationships/image" Target="../media/image113.png"/><Relationship Id="rId118" Type="http://schemas.openxmlformats.org/officeDocument/2006/relationships/image" Target="../media/image118.png"/><Relationship Id="rId134" Type="http://schemas.openxmlformats.org/officeDocument/2006/relationships/image" Target="../media/image134.png"/><Relationship Id="rId139" Type="http://schemas.openxmlformats.org/officeDocument/2006/relationships/image" Target="../media/image139.png"/><Relationship Id="rId80" Type="http://schemas.openxmlformats.org/officeDocument/2006/relationships/image" Target="../media/image80.png"/><Relationship Id="rId85" Type="http://schemas.openxmlformats.org/officeDocument/2006/relationships/image" Target="../media/image85.png"/><Relationship Id="rId150" Type="http://schemas.openxmlformats.org/officeDocument/2006/relationships/image" Target="../media/image150.png"/><Relationship Id="rId12" Type="http://schemas.openxmlformats.org/officeDocument/2006/relationships/image" Target="../media/image12.png"/><Relationship Id="rId17" Type="http://schemas.openxmlformats.org/officeDocument/2006/relationships/image" Target="../media/image17.png"/><Relationship Id="rId33" Type="http://schemas.openxmlformats.org/officeDocument/2006/relationships/image" Target="../media/image33.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108" Type="http://schemas.openxmlformats.org/officeDocument/2006/relationships/image" Target="../media/image108.png"/><Relationship Id="rId124" Type="http://schemas.openxmlformats.org/officeDocument/2006/relationships/image" Target="../media/image124.png"/><Relationship Id="rId129" Type="http://schemas.openxmlformats.org/officeDocument/2006/relationships/image" Target="../media/image129.png"/><Relationship Id="rId54" Type="http://schemas.openxmlformats.org/officeDocument/2006/relationships/image" Target="../media/image54.png"/><Relationship Id="rId70" Type="http://schemas.openxmlformats.org/officeDocument/2006/relationships/image" Target="../media/image70.png"/><Relationship Id="rId75" Type="http://schemas.openxmlformats.org/officeDocument/2006/relationships/image" Target="../media/image75.png"/><Relationship Id="rId91" Type="http://schemas.openxmlformats.org/officeDocument/2006/relationships/image" Target="../media/image91.png"/><Relationship Id="rId96" Type="http://schemas.openxmlformats.org/officeDocument/2006/relationships/image" Target="../media/image96.png"/><Relationship Id="rId140" Type="http://schemas.openxmlformats.org/officeDocument/2006/relationships/image" Target="../media/image140.png"/><Relationship Id="rId145" Type="http://schemas.openxmlformats.org/officeDocument/2006/relationships/image" Target="../media/image145.png"/><Relationship Id="rId1" Type="http://schemas.openxmlformats.org/officeDocument/2006/relationships/image" Target="../media/image1.png"/><Relationship Id="rId6" Type="http://schemas.openxmlformats.org/officeDocument/2006/relationships/image" Target="../media/image6.png"/><Relationship Id="rId23" Type="http://schemas.openxmlformats.org/officeDocument/2006/relationships/image" Target="../media/image23.png"/><Relationship Id="rId28" Type="http://schemas.openxmlformats.org/officeDocument/2006/relationships/image" Target="../media/image28.png"/><Relationship Id="rId49" Type="http://schemas.openxmlformats.org/officeDocument/2006/relationships/image" Target="../media/image49.png"/><Relationship Id="rId114" Type="http://schemas.openxmlformats.org/officeDocument/2006/relationships/image" Target="../media/image114.png"/><Relationship Id="rId119" Type="http://schemas.openxmlformats.org/officeDocument/2006/relationships/image" Target="../media/image119.png"/><Relationship Id="rId44" Type="http://schemas.openxmlformats.org/officeDocument/2006/relationships/image" Target="../media/image44.png"/><Relationship Id="rId60" Type="http://schemas.openxmlformats.org/officeDocument/2006/relationships/image" Target="../media/image60.png"/><Relationship Id="rId65" Type="http://schemas.openxmlformats.org/officeDocument/2006/relationships/image" Target="../media/image65.png"/><Relationship Id="rId81" Type="http://schemas.openxmlformats.org/officeDocument/2006/relationships/image" Target="../media/image81.png"/><Relationship Id="rId86" Type="http://schemas.openxmlformats.org/officeDocument/2006/relationships/image" Target="../media/image86.png"/><Relationship Id="rId130" Type="http://schemas.openxmlformats.org/officeDocument/2006/relationships/image" Target="../media/image130.png"/><Relationship Id="rId135" Type="http://schemas.openxmlformats.org/officeDocument/2006/relationships/image" Target="../media/image135.png"/><Relationship Id="rId151" Type="http://schemas.openxmlformats.org/officeDocument/2006/relationships/image" Target="../media/image151.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109" Type="http://schemas.openxmlformats.org/officeDocument/2006/relationships/image" Target="../media/image10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120" Type="http://schemas.openxmlformats.org/officeDocument/2006/relationships/image" Target="../media/image120.png"/><Relationship Id="rId125" Type="http://schemas.openxmlformats.org/officeDocument/2006/relationships/image" Target="../media/image125.png"/><Relationship Id="rId141" Type="http://schemas.openxmlformats.org/officeDocument/2006/relationships/image" Target="../media/image141.png"/><Relationship Id="rId146" Type="http://schemas.openxmlformats.org/officeDocument/2006/relationships/image" Target="../media/image146.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110" Type="http://schemas.openxmlformats.org/officeDocument/2006/relationships/image" Target="../media/image110.png"/><Relationship Id="rId115" Type="http://schemas.openxmlformats.org/officeDocument/2006/relationships/image" Target="../media/image115.png"/><Relationship Id="rId131" Type="http://schemas.openxmlformats.org/officeDocument/2006/relationships/image" Target="../media/image131.png"/><Relationship Id="rId136" Type="http://schemas.openxmlformats.org/officeDocument/2006/relationships/image" Target="../media/image136.png"/><Relationship Id="rId61" Type="http://schemas.openxmlformats.org/officeDocument/2006/relationships/image" Target="../media/image61.png"/><Relationship Id="rId82" Type="http://schemas.openxmlformats.org/officeDocument/2006/relationships/image" Target="../media/image82.png"/><Relationship Id="rId152" Type="http://schemas.openxmlformats.org/officeDocument/2006/relationships/image" Target="../media/image152.png"/><Relationship Id="rId19" Type="http://schemas.openxmlformats.org/officeDocument/2006/relationships/image" Target="../media/image19.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126" Type="http://schemas.openxmlformats.org/officeDocument/2006/relationships/image" Target="../media/image126.png"/><Relationship Id="rId147" Type="http://schemas.openxmlformats.org/officeDocument/2006/relationships/image" Target="../media/image14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121" Type="http://schemas.openxmlformats.org/officeDocument/2006/relationships/image" Target="../media/image121.png"/><Relationship Id="rId142" Type="http://schemas.openxmlformats.org/officeDocument/2006/relationships/image" Target="../media/image142.png"/><Relationship Id="rId3" Type="http://schemas.openxmlformats.org/officeDocument/2006/relationships/image" Target="../media/image3.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 Id="rId116" Type="http://schemas.openxmlformats.org/officeDocument/2006/relationships/image" Target="../media/image116.png"/><Relationship Id="rId137" Type="http://schemas.openxmlformats.org/officeDocument/2006/relationships/image" Target="../media/image137.png"/><Relationship Id="rId20" Type="http://schemas.openxmlformats.org/officeDocument/2006/relationships/image" Target="../media/image20.png"/><Relationship Id="rId41" Type="http://schemas.openxmlformats.org/officeDocument/2006/relationships/image" Target="../media/image41.png"/><Relationship Id="rId62" Type="http://schemas.openxmlformats.org/officeDocument/2006/relationships/image" Target="../media/image62.png"/><Relationship Id="rId83" Type="http://schemas.openxmlformats.org/officeDocument/2006/relationships/image" Target="../media/image83.png"/><Relationship Id="rId88" Type="http://schemas.openxmlformats.org/officeDocument/2006/relationships/image" Target="../media/image88.png"/><Relationship Id="rId111" Type="http://schemas.openxmlformats.org/officeDocument/2006/relationships/image" Target="../media/image111.png"/><Relationship Id="rId132" Type="http://schemas.openxmlformats.org/officeDocument/2006/relationships/image" Target="../media/image132.png"/><Relationship Id="rId15" Type="http://schemas.openxmlformats.org/officeDocument/2006/relationships/image" Target="../media/image15.png"/><Relationship Id="rId36" Type="http://schemas.openxmlformats.org/officeDocument/2006/relationships/image" Target="../media/image36.png"/><Relationship Id="rId57" Type="http://schemas.openxmlformats.org/officeDocument/2006/relationships/image" Target="../media/image57.png"/><Relationship Id="rId106" Type="http://schemas.openxmlformats.org/officeDocument/2006/relationships/image" Target="../media/image106.png"/><Relationship Id="rId127" Type="http://schemas.openxmlformats.org/officeDocument/2006/relationships/image" Target="../media/image127.png"/><Relationship Id="rId10" Type="http://schemas.openxmlformats.org/officeDocument/2006/relationships/image" Target="../media/image10.png"/><Relationship Id="rId31" Type="http://schemas.openxmlformats.org/officeDocument/2006/relationships/image" Target="../media/image31.png"/><Relationship Id="rId52" Type="http://schemas.openxmlformats.org/officeDocument/2006/relationships/image" Target="../media/image52.png"/><Relationship Id="rId73" Type="http://schemas.openxmlformats.org/officeDocument/2006/relationships/image" Target="../media/image73.png"/><Relationship Id="rId78" Type="http://schemas.openxmlformats.org/officeDocument/2006/relationships/image" Target="../media/image78.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143" Type="http://schemas.openxmlformats.org/officeDocument/2006/relationships/image" Target="../media/image143.png"/><Relationship Id="rId148" Type="http://schemas.openxmlformats.org/officeDocument/2006/relationships/image" Target="../media/image148.png"/><Relationship Id="rId4" Type="http://schemas.openxmlformats.org/officeDocument/2006/relationships/image" Target="../media/image4.png"/><Relationship Id="rId9" Type="http://schemas.openxmlformats.org/officeDocument/2006/relationships/image" Target="../media/image9.png"/><Relationship Id="rId26" Type="http://schemas.openxmlformats.org/officeDocument/2006/relationships/image" Target="../media/image26.png"/><Relationship Id="rId47" Type="http://schemas.openxmlformats.org/officeDocument/2006/relationships/image" Target="../media/image47.png"/><Relationship Id="rId68" Type="http://schemas.openxmlformats.org/officeDocument/2006/relationships/image" Target="../media/image68.png"/><Relationship Id="rId89" Type="http://schemas.openxmlformats.org/officeDocument/2006/relationships/image" Target="../media/image89.png"/><Relationship Id="rId112" Type="http://schemas.openxmlformats.org/officeDocument/2006/relationships/image" Target="../media/image112.png"/><Relationship Id="rId133" Type="http://schemas.openxmlformats.org/officeDocument/2006/relationships/image" Target="../media/image133.png"/><Relationship Id="rId16" Type="http://schemas.openxmlformats.org/officeDocument/2006/relationships/image" Target="../media/image16.png"/><Relationship Id="rId37" Type="http://schemas.openxmlformats.org/officeDocument/2006/relationships/image" Target="../media/image37.png"/><Relationship Id="rId58" Type="http://schemas.openxmlformats.org/officeDocument/2006/relationships/image" Target="../media/image58.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44" Type="http://schemas.openxmlformats.org/officeDocument/2006/relationships/image" Target="../media/image144.png"/><Relationship Id="rId90" Type="http://schemas.openxmlformats.org/officeDocument/2006/relationships/image" Target="../media/image9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54.png"/><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11</xdr:col>
      <xdr:colOff>182879</xdr:colOff>
      <xdr:row>23</xdr:row>
      <xdr:rowOff>47625</xdr:rowOff>
    </xdr:from>
    <xdr:to>
      <xdr:col>22</xdr:col>
      <xdr:colOff>22860</xdr:colOff>
      <xdr:row>38</xdr:row>
      <xdr:rowOff>114299</xdr:rowOff>
    </xdr:to>
    <xdr:graphicFrame macro="">
      <xdr:nvGraphicFramePr>
        <xdr:cNvPr id="3" name="Chart 2">
          <a:extLst>
            <a:ext uri="{FF2B5EF4-FFF2-40B4-BE49-F238E27FC236}">
              <a16:creationId xmlns:a16="http://schemas.microsoft.com/office/drawing/2014/main" id="{4931FF64-1161-4BF4-8208-E5C87EFD18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219075</xdr:colOff>
      <xdr:row>11</xdr:row>
      <xdr:rowOff>80008</xdr:rowOff>
    </xdr:from>
    <xdr:to>
      <xdr:col>22</xdr:col>
      <xdr:colOff>9525</xdr:colOff>
      <xdr:row>22</xdr:row>
      <xdr:rowOff>123824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21913AD-EB1B-4C43-9C8C-513D8C9CB9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706850" y="2375533"/>
              <a:ext cx="2962275" cy="2167891"/>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219075</xdr:colOff>
      <xdr:row>11</xdr:row>
      <xdr:rowOff>114301</xdr:rowOff>
    </xdr:from>
    <xdr:to>
      <xdr:col>17</xdr:col>
      <xdr:colOff>47625</xdr:colOff>
      <xdr:row>23</xdr:row>
      <xdr:rowOff>28576</xdr:rowOff>
    </xdr:to>
    <xdr:graphicFrame macro="">
      <xdr:nvGraphicFramePr>
        <xdr:cNvPr id="5" name="Chart 4">
          <a:extLst>
            <a:ext uri="{FF2B5EF4-FFF2-40B4-BE49-F238E27FC236}">
              <a16:creationId xmlns:a16="http://schemas.microsoft.com/office/drawing/2014/main" id="{E79175AC-1972-425A-A8BC-6797CFAD7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590550</xdr:colOff>
      <xdr:row>20</xdr:row>
      <xdr:rowOff>128587</xdr:rowOff>
    </xdr:from>
    <xdr:to>
      <xdr:col>22</xdr:col>
      <xdr:colOff>19050</xdr:colOff>
      <xdr:row>36</xdr:row>
      <xdr:rowOff>14287</xdr:rowOff>
    </xdr:to>
    <xdr:graphicFrame macro="">
      <xdr:nvGraphicFramePr>
        <xdr:cNvPr id="2" name="Chart 1">
          <a:extLst>
            <a:ext uri="{FF2B5EF4-FFF2-40B4-BE49-F238E27FC236}">
              <a16:creationId xmlns:a16="http://schemas.microsoft.com/office/drawing/2014/main" id="{72B2CFED-F3AE-4315-83FB-4A9B5C57E2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6547D13C-BF6A-4FB3-B0C3-880055F02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34B2A040-9729-4B6B-9801-EF4BFD0606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590550</xdr:colOff>
      <xdr:row>20</xdr:row>
      <xdr:rowOff>128587</xdr:rowOff>
    </xdr:from>
    <xdr:to>
      <xdr:col>22</xdr:col>
      <xdr:colOff>19050</xdr:colOff>
      <xdr:row>36</xdr:row>
      <xdr:rowOff>14287</xdr:rowOff>
    </xdr:to>
    <xdr:graphicFrame macro="">
      <xdr:nvGraphicFramePr>
        <xdr:cNvPr id="2" name="Chart 1">
          <a:extLst>
            <a:ext uri="{FF2B5EF4-FFF2-40B4-BE49-F238E27FC236}">
              <a16:creationId xmlns:a16="http://schemas.microsoft.com/office/drawing/2014/main" id="{81C2737A-6B4F-478C-8E88-FC2419BDE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0C58E262-72D6-482D-A9EA-9DCBB8255C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FE0604B7-5535-47F3-BE80-22E722E6F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7497846E-96AB-424E-A2C6-84EB6563FB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3A7C13EF-BC52-43BC-AAA4-4B6020EEE7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9D3B9A4C-032B-4138-83A1-B807AFACA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2DA2D5C2-4D6E-4E18-8201-0AE593214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772BA05B-4D6F-4331-B40E-8F40B73F1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14</xdr:col>
      <xdr:colOff>161925</xdr:colOff>
      <xdr:row>20</xdr:row>
      <xdr:rowOff>128587</xdr:rowOff>
    </xdr:from>
    <xdr:to>
      <xdr:col>24</xdr:col>
      <xdr:colOff>200025</xdr:colOff>
      <xdr:row>36</xdr:row>
      <xdr:rowOff>14287</xdr:rowOff>
    </xdr:to>
    <xdr:graphicFrame macro="">
      <xdr:nvGraphicFramePr>
        <xdr:cNvPr id="2" name="Chart 1">
          <a:extLst>
            <a:ext uri="{FF2B5EF4-FFF2-40B4-BE49-F238E27FC236}">
              <a16:creationId xmlns:a16="http://schemas.microsoft.com/office/drawing/2014/main" id="{49C59E61-890B-4FC3-81C9-D0625BAB2C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9525</xdr:colOff>
      <xdr:row>0</xdr:row>
      <xdr:rowOff>23812</xdr:rowOff>
    </xdr:from>
    <xdr:to>
      <xdr:col>15</xdr:col>
      <xdr:colOff>47625</xdr:colOff>
      <xdr:row>15</xdr:row>
      <xdr:rowOff>100012</xdr:rowOff>
    </xdr:to>
    <xdr:graphicFrame macro="">
      <xdr:nvGraphicFramePr>
        <xdr:cNvPr id="2" name="Chart 1">
          <a:extLst>
            <a:ext uri="{FF2B5EF4-FFF2-40B4-BE49-F238E27FC236}">
              <a16:creationId xmlns:a16="http://schemas.microsoft.com/office/drawing/2014/main" id="{5E871922-EA8F-4BF7-AE71-4A25983352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0</xdr:colOff>
      <xdr:row>0</xdr:row>
      <xdr:rowOff>4762</xdr:rowOff>
    </xdr:from>
    <xdr:to>
      <xdr:col>16</xdr:col>
      <xdr:colOff>38100</xdr:colOff>
      <xdr:row>15</xdr:row>
      <xdr:rowOff>80962</xdr:rowOff>
    </xdr:to>
    <xdr:graphicFrame macro="">
      <xdr:nvGraphicFramePr>
        <xdr:cNvPr id="2" name="Chart 1">
          <a:extLst>
            <a:ext uri="{FF2B5EF4-FFF2-40B4-BE49-F238E27FC236}">
              <a16:creationId xmlns:a16="http://schemas.microsoft.com/office/drawing/2014/main" id="{534AA0B4-C57F-43F8-B19A-427EBC5EF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219075</xdr:colOff>
      <xdr:row>1</xdr:row>
      <xdr:rowOff>142875</xdr:rowOff>
    </xdr:to>
    <xdr:pic>
      <xdr:nvPicPr>
        <xdr:cNvPr id="2" name="Picture 1">
          <a:extLst>
            <a:ext uri="{FF2B5EF4-FFF2-40B4-BE49-F238E27FC236}">
              <a16:creationId xmlns:a16="http://schemas.microsoft.com/office/drawing/2014/main" id="{4C0DFA01-E0D8-4778-B73A-9231C1326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219075</xdr:colOff>
      <xdr:row>2</xdr:row>
      <xdr:rowOff>142875</xdr:rowOff>
    </xdr:to>
    <xdr:pic>
      <xdr:nvPicPr>
        <xdr:cNvPr id="3" name="Picture 2">
          <a:extLst>
            <a:ext uri="{FF2B5EF4-FFF2-40B4-BE49-F238E27FC236}">
              <a16:creationId xmlns:a16="http://schemas.microsoft.com/office/drawing/2014/main" id="{ABF848BC-098A-4B41-9622-158545BF61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715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219075</xdr:colOff>
      <xdr:row>3</xdr:row>
      <xdr:rowOff>114300</xdr:rowOff>
    </xdr:to>
    <xdr:pic>
      <xdr:nvPicPr>
        <xdr:cNvPr id="4" name="Picture 3">
          <a:extLst>
            <a:ext uri="{FF2B5EF4-FFF2-40B4-BE49-F238E27FC236}">
              <a16:creationId xmlns:a16="http://schemas.microsoft.com/office/drawing/2014/main" id="{491AD992-83DB-4D04-BCA1-13DFBC46C8B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715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219075</xdr:colOff>
      <xdr:row>4</xdr:row>
      <xdr:rowOff>142875</xdr:rowOff>
    </xdr:to>
    <xdr:pic>
      <xdr:nvPicPr>
        <xdr:cNvPr id="5" name="Picture 4">
          <a:extLst>
            <a:ext uri="{FF2B5EF4-FFF2-40B4-BE49-F238E27FC236}">
              <a16:creationId xmlns:a16="http://schemas.microsoft.com/office/drawing/2014/main" id="{34C0C625-D127-494E-8303-1982198F78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5621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209550</xdr:colOff>
      <xdr:row>5</xdr:row>
      <xdr:rowOff>142875</xdr:rowOff>
    </xdr:to>
    <xdr:pic>
      <xdr:nvPicPr>
        <xdr:cNvPr id="6" name="Picture 5">
          <a:extLst>
            <a:ext uri="{FF2B5EF4-FFF2-40B4-BE49-F238E27FC236}">
              <a16:creationId xmlns:a16="http://schemas.microsoft.com/office/drawing/2014/main" id="{565277BB-31E3-43CD-858B-32315EAFE57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952625"/>
          <a:ext cx="2095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219075</xdr:colOff>
      <xdr:row>6</xdr:row>
      <xdr:rowOff>142875</xdr:rowOff>
    </xdr:to>
    <xdr:pic>
      <xdr:nvPicPr>
        <xdr:cNvPr id="7" name="Picture 6">
          <a:extLst>
            <a:ext uri="{FF2B5EF4-FFF2-40B4-BE49-F238E27FC236}">
              <a16:creationId xmlns:a16="http://schemas.microsoft.com/office/drawing/2014/main" id="{1FC60B9F-9C55-42F9-9A51-8C27A0C0305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3431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219075</xdr:colOff>
      <xdr:row>7</xdr:row>
      <xdr:rowOff>142875</xdr:rowOff>
    </xdr:to>
    <xdr:pic>
      <xdr:nvPicPr>
        <xdr:cNvPr id="8" name="Picture 7">
          <a:extLst>
            <a:ext uri="{FF2B5EF4-FFF2-40B4-BE49-F238E27FC236}">
              <a16:creationId xmlns:a16="http://schemas.microsoft.com/office/drawing/2014/main" id="{A35D4887-5107-4CD0-99F3-7D64BE1470F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25431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219075</xdr:colOff>
      <xdr:row>8</xdr:row>
      <xdr:rowOff>114300</xdr:rowOff>
    </xdr:to>
    <xdr:pic>
      <xdr:nvPicPr>
        <xdr:cNvPr id="9" name="Picture 8">
          <a:extLst>
            <a:ext uri="{FF2B5EF4-FFF2-40B4-BE49-F238E27FC236}">
              <a16:creationId xmlns:a16="http://schemas.microsoft.com/office/drawing/2014/main" id="{01CFE7EB-0EC8-44B9-AF14-CE4CE4F89E4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743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219075</xdr:colOff>
      <xdr:row>9</xdr:row>
      <xdr:rowOff>133350</xdr:rowOff>
    </xdr:to>
    <xdr:pic>
      <xdr:nvPicPr>
        <xdr:cNvPr id="10" name="Picture 9">
          <a:extLst>
            <a:ext uri="{FF2B5EF4-FFF2-40B4-BE49-F238E27FC236}">
              <a16:creationId xmlns:a16="http://schemas.microsoft.com/office/drawing/2014/main" id="{AD02A8A1-660F-4C62-B96C-B94FB418D6C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94322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219075</xdr:colOff>
      <xdr:row>10</xdr:row>
      <xdr:rowOff>133350</xdr:rowOff>
    </xdr:to>
    <xdr:pic>
      <xdr:nvPicPr>
        <xdr:cNvPr id="11" name="Picture 10">
          <a:extLst>
            <a:ext uri="{FF2B5EF4-FFF2-40B4-BE49-F238E27FC236}">
              <a16:creationId xmlns:a16="http://schemas.microsoft.com/office/drawing/2014/main" id="{6F32E8B5-E6F5-4036-8C1A-6521BB675A2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333375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219075</xdr:colOff>
      <xdr:row>11</xdr:row>
      <xdr:rowOff>123825</xdr:rowOff>
    </xdr:to>
    <xdr:pic>
      <xdr:nvPicPr>
        <xdr:cNvPr id="12" name="Picture 11">
          <a:extLst>
            <a:ext uri="{FF2B5EF4-FFF2-40B4-BE49-F238E27FC236}">
              <a16:creationId xmlns:a16="http://schemas.microsoft.com/office/drawing/2014/main" id="{BAE76668-AA1F-4348-BB1A-BF7F21C1898A}"/>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724275"/>
          <a:ext cx="21907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219075</xdr:colOff>
      <xdr:row>12</xdr:row>
      <xdr:rowOff>142875</xdr:rowOff>
    </xdr:to>
    <xdr:pic>
      <xdr:nvPicPr>
        <xdr:cNvPr id="13" name="Picture 12">
          <a:extLst>
            <a:ext uri="{FF2B5EF4-FFF2-40B4-BE49-F238E27FC236}">
              <a16:creationId xmlns:a16="http://schemas.microsoft.com/office/drawing/2014/main" id="{D1037ABD-3A03-4F58-BF80-30157B38351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41148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219075</xdr:colOff>
      <xdr:row>13</xdr:row>
      <xdr:rowOff>142875</xdr:rowOff>
    </xdr:to>
    <xdr:pic>
      <xdr:nvPicPr>
        <xdr:cNvPr id="14" name="Picture 13">
          <a:extLst>
            <a:ext uri="{FF2B5EF4-FFF2-40B4-BE49-F238E27FC236}">
              <a16:creationId xmlns:a16="http://schemas.microsoft.com/office/drawing/2014/main" id="{8225FE76-6C2C-480F-BAE0-F7CF2DBEC88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43148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219075</xdr:colOff>
      <xdr:row>14</xdr:row>
      <xdr:rowOff>114300</xdr:rowOff>
    </xdr:to>
    <xdr:pic>
      <xdr:nvPicPr>
        <xdr:cNvPr id="15" name="Picture 14">
          <a:extLst>
            <a:ext uri="{FF2B5EF4-FFF2-40B4-BE49-F238E27FC236}">
              <a16:creationId xmlns:a16="http://schemas.microsoft.com/office/drawing/2014/main" id="{83B957D5-C5D1-4476-B308-7D860745D8A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45148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0</xdr:rowOff>
    </xdr:from>
    <xdr:to>
      <xdr:col>0</xdr:col>
      <xdr:colOff>219075</xdr:colOff>
      <xdr:row>15</xdr:row>
      <xdr:rowOff>114300</xdr:rowOff>
    </xdr:to>
    <xdr:pic>
      <xdr:nvPicPr>
        <xdr:cNvPr id="16" name="Picture 15">
          <a:extLst>
            <a:ext uri="{FF2B5EF4-FFF2-40B4-BE49-F238E27FC236}">
              <a16:creationId xmlns:a16="http://schemas.microsoft.com/office/drawing/2014/main" id="{27750B77-D274-4C34-A08E-D33BE52D316A}"/>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49053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219075</xdr:colOff>
      <xdr:row>16</xdr:row>
      <xdr:rowOff>142875</xdr:rowOff>
    </xdr:to>
    <xdr:pic>
      <xdr:nvPicPr>
        <xdr:cNvPr id="17" name="Picture 16">
          <a:extLst>
            <a:ext uri="{FF2B5EF4-FFF2-40B4-BE49-F238E27FC236}">
              <a16:creationId xmlns:a16="http://schemas.microsoft.com/office/drawing/2014/main" id="{202A3BF3-686C-4101-95D7-82B178BCEAD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52959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219075</xdr:colOff>
      <xdr:row>17</xdr:row>
      <xdr:rowOff>142875</xdr:rowOff>
    </xdr:to>
    <xdr:pic>
      <xdr:nvPicPr>
        <xdr:cNvPr id="18" name="Picture 17">
          <a:extLst>
            <a:ext uri="{FF2B5EF4-FFF2-40B4-BE49-F238E27FC236}">
              <a16:creationId xmlns:a16="http://schemas.microsoft.com/office/drawing/2014/main" id="{53B3EB9F-6ECF-4197-B7B0-86AA6DD89851}"/>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54959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219075</xdr:colOff>
      <xdr:row>18</xdr:row>
      <xdr:rowOff>142875</xdr:rowOff>
    </xdr:to>
    <xdr:pic>
      <xdr:nvPicPr>
        <xdr:cNvPr id="19" name="Picture 18">
          <a:extLst>
            <a:ext uri="{FF2B5EF4-FFF2-40B4-BE49-F238E27FC236}">
              <a16:creationId xmlns:a16="http://schemas.microsoft.com/office/drawing/2014/main" id="{7A156A0B-DDA2-4193-B603-3EFA2E2277EF}"/>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56959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219075</xdr:colOff>
      <xdr:row>19</xdr:row>
      <xdr:rowOff>123825</xdr:rowOff>
    </xdr:to>
    <xdr:pic>
      <xdr:nvPicPr>
        <xdr:cNvPr id="20" name="Picture 19">
          <a:extLst>
            <a:ext uri="{FF2B5EF4-FFF2-40B4-BE49-F238E27FC236}">
              <a16:creationId xmlns:a16="http://schemas.microsoft.com/office/drawing/2014/main" id="{0ABEB9CF-F401-4565-94F1-A050685B92CE}"/>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5895975"/>
          <a:ext cx="21907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219075</xdr:colOff>
      <xdr:row>20</xdr:row>
      <xdr:rowOff>114300</xdr:rowOff>
    </xdr:to>
    <xdr:pic>
      <xdr:nvPicPr>
        <xdr:cNvPr id="21" name="Picture 20">
          <a:extLst>
            <a:ext uri="{FF2B5EF4-FFF2-40B4-BE49-F238E27FC236}">
              <a16:creationId xmlns:a16="http://schemas.microsoft.com/office/drawing/2014/main" id="{C5FC5AA2-2DA1-45AF-AA65-E8B2FA094BF7}"/>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62865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219075</xdr:colOff>
      <xdr:row>21</xdr:row>
      <xdr:rowOff>142875</xdr:rowOff>
    </xdr:to>
    <xdr:pic>
      <xdr:nvPicPr>
        <xdr:cNvPr id="22" name="Picture 21">
          <a:extLst>
            <a:ext uri="{FF2B5EF4-FFF2-40B4-BE49-F238E27FC236}">
              <a16:creationId xmlns:a16="http://schemas.microsoft.com/office/drawing/2014/main" id="{5ACD9315-288C-46D3-93F4-DF3462DA837A}"/>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64865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219075</xdr:colOff>
      <xdr:row>22</xdr:row>
      <xdr:rowOff>142875</xdr:rowOff>
    </xdr:to>
    <xdr:pic>
      <xdr:nvPicPr>
        <xdr:cNvPr id="23" name="Picture 22">
          <a:extLst>
            <a:ext uri="{FF2B5EF4-FFF2-40B4-BE49-F238E27FC236}">
              <a16:creationId xmlns:a16="http://schemas.microsoft.com/office/drawing/2014/main" id="{5A086A6B-64CE-4FA7-A551-655E690865CE}"/>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68770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190500</xdr:colOff>
      <xdr:row>23</xdr:row>
      <xdr:rowOff>142875</xdr:rowOff>
    </xdr:to>
    <xdr:pic>
      <xdr:nvPicPr>
        <xdr:cNvPr id="24" name="Picture 23">
          <a:extLst>
            <a:ext uri="{FF2B5EF4-FFF2-40B4-BE49-F238E27FC236}">
              <a16:creationId xmlns:a16="http://schemas.microsoft.com/office/drawing/2014/main" id="{109A49E1-8B54-49C5-B711-A9A48C4F6B24}"/>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7077075"/>
          <a:ext cx="1905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219075</xdr:colOff>
      <xdr:row>24</xdr:row>
      <xdr:rowOff>142875</xdr:rowOff>
    </xdr:to>
    <xdr:pic>
      <xdr:nvPicPr>
        <xdr:cNvPr id="25" name="Picture 24">
          <a:extLst>
            <a:ext uri="{FF2B5EF4-FFF2-40B4-BE49-F238E27FC236}">
              <a16:creationId xmlns:a16="http://schemas.microsoft.com/office/drawing/2014/main" id="{0C3E0316-6B8D-4358-B665-C3A88B98BA67}"/>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74676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0</xdr:col>
      <xdr:colOff>219075</xdr:colOff>
      <xdr:row>25</xdr:row>
      <xdr:rowOff>142875</xdr:rowOff>
    </xdr:to>
    <xdr:pic>
      <xdr:nvPicPr>
        <xdr:cNvPr id="26" name="Picture 25">
          <a:extLst>
            <a:ext uri="{FF2B5EF4-FFF2-40B4-BE49-F238E27FC236}">
              <a16:creationId xmlns:a16="http://schemas.microsoft.com/office/drawing/2014/main" id="{4B7C681F-9B72-4B58-980D-BC1B65B100A2}"/>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0" y="76676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219075</xdr:colOff>
      <xdr:row>26</xdr:row>
      <xdr:rowOff>142875</xdr:rowOff>
    </xdr:to>
    <xdr:pic>
      <xdr:nvPicPr>
        <xdr:cNvPr id="27" name="Picture 26">
          <a:extLst>
            <a:ext uri="{FF2B5EF4-FFF2-40B4-BE49-F238E27FC236}">
              <a16:creationId xmlns:a16="http://schemas.microsoft.com/office/drawing/2014/main" id="{A028B934-79E7-4281-A259-5027DE1F26B8}"/>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80581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219075</xdr:colOff>
      <xdr:row>27</xdr:row>
      <xdr:rowOff>142875</xdr:rowOff>
    </xdr:to>
    <xdr:pic>
      <xdr:nvPicPr>
        <xdr:cNvPr id="28" name="Picture 27">
          <a:extLst>
            <a:ext uri="{FF2B5EF4-FFF2-40B4-BE49-F238E27FC236}">
              <a16:creationId xmlns:a16="http://schemas.microsoft.com/office/drawing/2014/main" id="{7E9F79DA-8615-4BF9-9CE4-CE9618A2F7AF}"/>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0" y="82581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219075</xdr:colOff>
      <xdr:row>28</xdr:row>
      <xdr:rowOff>114300</xdr:rowOff>
    </xdr:to>
    <xdr:pic>
      <xdr:nvPicPr>
        <xdr:cNvPr id="29" name="Picture 28">
          <a:extLst>
            <a:ext uri="{FF2B5EF4-FFF2-40B4-BE49-F238E27FC236}">
              <a16:creationId xmlns:a16="http://schemas.microsoft.com/office/drawing/2014/main" id="{B5FE21CD-7484-4B49-B63E-DA8414844618}"/>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8458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0</xdr:col>
      <xdr:colOff>219075</xdr:colOff>
      <xdr:row>29</xdr:row>
      <xdr:rowOff>142875</xdr:rowOff>
    </xdr:to>
    <xdr:pic>
      <xdr:nvPicPr>
        <xdr:cNvPr id="30" name="Picture 29">
          <a:extLst>
            <a:ext uri="{FF2B5EF4-FFF2-40B4-BE49-F238E27FC236}">
              <a16:creationId xmlns:a16="http://schemas.microsoft.com/office/drawing/2014/main" id="{C632F414-1C47-486B-B309-038FC1918FE0}"/>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0" y="88487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219075</xdr:colOff>
      <xdr:row>30</xdr:row>
      <xdr:rowOff>133350</xdr:rowOff>
    </xdr:to>
    <xdr:pic>
      <xdr:nvPicPr>
        <xdr:cNvPr id="31" name="Picture 30">
          <a:extLst>
            <a:ext uri="{FF2B5EF4-FFF2-40B4-BE49-F238E27FC236}">
              <a16:creationId xmlns:a16="http://schemas.microsoft.com/office/drawing/2014/main" id="{4D4DFD42-223E-44ED-BB48-3F7025434E96}"/>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923925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219075</xdr:colOff>
      <xdr:row>31</xdr:row>
      <xdr:rowOff>133350</xdr:rowOff>
    </xdr:to>
    <xdr:pic>
      <xdr:nvPicPr>
        <xdr:cNvPr id="32" name="Picture 31">
          <a:extLst>
            <a:ext uri="{FF2B5EF4-FFF2-40B4-BE49-F238E27FC236}">
              <a16:creationId xmlns:a16="http://schemas.microsoft.com/office/drawing/2014/main" id="{42E778BE-8016-4FE2-9A73-3AC2FDCC69C6}"/>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0" y="962977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219075</xdr:colOff>
      <xdr:row>32</xdr:row>
      <xdr:rowOff>142875</xdr:rowOff>
    </xdr:to>
    <xdr:pic>
      <xdr:nvPicPr>
        <xdr:cNvPr id="33" name="Picture 32">
          <a:extLst>
            <a:ext uri="{FF2B5EF4-FFF2-40B4-BE49-F238E27FC236}">
              <a16:creationId xmlns:a16="http://schemas.microsoft.com/office/drawing/2014/main" id="{2A8A36C4-FC86-43E5-AAF5-747A878A845E}"/>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98298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219075</xdr:colOff>
      <xdr:row>33</xdr:row>
      <xdr:rowOff>142875</xdr:rowOff>
    </xdr:to>
    <xdr:pic>
      <xdr:nvPicPr>
        <xdr:cNvPr id="34" name="Picture 33">
          <a:extLst>
            <a:ext uri="{FF2B5EF4-FFF2-40B4-BE49-F238E27FC236}">
              <a16:creationId xmlns:a16="http://schemas.microsoft.com/office/drawing/2014/main" id="{95B401FA-2F8B-4CC9-8D3F-8F90DDE4B0D5}"/>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0" y="100298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219075</xdr:colOff>
      <xdr:row>34</xdr:row>
      <xdr:rowOff>142875</xdr:rowOff>
    </xdr:to>
    <xdr:pic>
      <xdr:nvPicPr>
        <xdr:cNvPr id="35" name="Picture 34">
          <a:extLst>
            <a:ext uri="{FF2B5EF4-FFF2-40B4-BE49-F238E27FC236}">
              <a16:creationId xmlns:a16="http://schemas.microsoft.com/office/drawing/2014/main" id="{8A2A2173-3383-4768-AC82-A5F0F849E779}"/>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4203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219075</xdr:colOff>
      <xdr:row>35</xdr:row>
      <xdr:rowOff>114300</xdr:rowOff>
    </xdr:to>
    <xdr:pic>
      <xdr:nvPicPr>
        <xdr:cNvPr id="36" name="Picture 35">
          <a:extLst>
            <a:ext uri="{FF2B5EF4-FFF2-40B4-BE49-F238E27FC236}">
              <a16:creationId xmlns:a16="http://schemas.microsoft.com/office/drawing/2014/main" id="{C386FB14-10F3-4409-B12B-6680F739E135}"/>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0" y="106203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219075</xdr:colOff>
      <xdr:row>36</xdr:row>
      <xdr:rowOff>142875</xdr:rowOff>
    </xdr:to>
    <xdr:pic>
      <xdr:nvPicPr>
        <xdr:cNvPr id="37" name="Picture 36">
          <a:extLst>
            <a:ext uri="{FF2B5EF4-FFF2-40B4-BE49-F238E27FC236}">
              <a16:creationId xmlns:a16="http://schemas.microsoft.com/office/drawing/2014/main" id="{8B2047C6-A225-4EC8-9391-59FDAD91CEEE}"/>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0" y="110109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219075</xdr:colOff>
      <xdr:row>37</xdr:row>
      <xdr:rowOff>142875</xdr:rowOff>
    </xdr:to>
    <xdr:pic>
      <xdr:nvPicPr>
        <xdr:cNvPr id="38" name="Picture 37">
          <a:extLst>
            <a:ext uri="{FF2B5EF4-FFF2-40B4-BE49-F238E27FC236}">
              <a16:creationId xmlns:a16="http://schemas.microsoft.com/office/drawing/2014/main" id="{36C22258-EB31-46BB-808C-8C0A0ADA7B1E}"/>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0" y="112109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219075</xdr:colOff>
      <xdr:row>38</xdr:row>
      <xdr:rowOff>142875</xdr:rowOff>
    </xdr:to>
    <xdr:pic>
      <xdr:nvPicPr>
        <xdr:cNvPr id="39" name="Picture 38">
          <a:extLst>
            <a:ext uri="{FF2B5EF4-FFF2-40B4-BE49-F238E27FC236}">
              <a16:creationId xmlns:a16="http://schemas.microsoft.com/office/drawing/2014/main" id="{301315F4-2BA7-4C44-8997-3BAAA3C2FCFE}"/>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0" y="114109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219075</xdr:colOff>
      <xdr:row>39</xdr:row>
      <xdr:rowOff>142875</xdr:rowOff>
    </xdr:to>
    <xdr:pic>
      <xdr:nvPicPr>
        <xdr:cNvPr id="40" name="Picture 39">
          <a:extLst>
            <a:ext uri="{FF2B5EF4-FFF2-40B4-BE49-F238E27FC236}">
              <a16:creationId xmlns:a16="http://schemas.microsoft.com/office/drawing/2014/main" id="{8BC7BB2F-A98C-4484-BD84-1E6ADDAA14D7}"/>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0" y="118014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0</xdr:col>
      <xdr:colOff>219075</xdr:colOff>
      <xdr:row>40</xdr:row>
      <xdr:rowOff>114300</xdr:rowOff>
    </xdr:to>
    <xdr:pic>
      <xdr:nvPicPr>
        <xdr:cNvPr id="41" name="Picture 40">
          <a:extLst>
            <a:ext uri="{FF2B5EF4-FFF2-40B4-BE49-F238E27FC236}">
              <a16:creationId xmlns:a16="http://schemas.microsoft.com/office/drawing/2014/main" id="{9DDF0603-76E5-45F6-A2F2-B6863D110540}"/>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121920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219075</xdr:colOff>
      <xdr:row>41</xdr:row>
      <xdr:rowOff>114300</xdr:rowOff>
    </xdr:to>
    <xdr:pic>
      <xdr:nvPicPr>
        <xdr:cNvPr id="42" name="Picture 41">
          <a:extLst>
            <a:ext uri="{FF2B5EF4-FFF2-40B4-BE49-F238E27FC236}">
              <a16:creationId xmlns:a16="http://schemas.microsoft.com/office/drawing/2014/main" id="{E36F4F58-C45D-4FC1-B799-68DDC972F152}"/>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0" y="123920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152400</xdr:colOff>
      <xdr:row>42</xdr:row>
      <xdr:rowOff>190500</xdr:rowOff>
    </xdr:to>
    <xdr:pic>
      <xdr:nvPicPr>
        <xdr:cNvPr id="43" name="Picture 42">
          <a:extLst>
            <a:ext uri="{FF2B5EF4-FFF2-40B4-BE49-F238E27FC236}">
              <a16:creationId xmlns:a16="http://schemas.microsoft.com/office/drawing/2014/main" id="{66C60FAE-806C-42E4-B2D0-0C3A465B938C}"/>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0" y="12592050"/>
          <a:ext cx="152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9525</xdr:rowOff>
    </xdr:from>
    <xdr:to>
      <xdr:col>0</xdr:col>
      <xdr:colOff>219075</xdr:colOff>
      <xdr:row>43</xdr:row>
      <xdr:rowOff>152400</xdr:rowOff>
    </xdr:to>
    <xdr:pic>
      <xdr:nvPicPr>
        <xdr:cNvPr id="44" name="Picture 43">
          <a:extLst>
            <a:ext uri="{FF2B5EF4-FFF2-40B4-BE49-F238E27FC236}">
              <a16:creationId xmlns:a16="http://schemas.microsoft.com/office/drawing/2014/main" id="{5836448F-5DF9-4FF2-BCDB-45FF8605194C}"/>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0" y="128016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0</xdr:rowOff>
    </xdr:from>
    <xdr:to>
      <xdr:col>0</xdr:col>
      <xdr:colOff>219075</xdr:colOff>
      <xdr:row>44</xdr:row>
      <xdr:rowOff>142875</xdr:rowOff>
    </xdr:to>
    <xdr:pic>
      <xdr:nvPicPr>
        <xdr:cNvPr id="45" name="Picture 44">
          <a:extLst>
            <a:ext uri="{FF2B5EF4-FFF2-40B4-BE49-F238E27FC236}">
              <a16:creationId xmlns:a16="http://schemas.microsoft.com/office/drawing/2014/main" id="{99069CB7-4E57-4FD5-A924-3C8DAB103020}"/>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0" y="129921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219075</xdr:colOff>
      <xdr:row>45</xdr:row>
      <xdr:rowOff>142875</xdr:rowOff>
    </xdr:to>
    <xdr:pic>
      <xdr:nvPicPr>
        <xdr:cNvPr id="46" name="Picture 45">
          <a:extLst>
            <a:ext uri="{FF2B5EF4-FFF2-40B4-BE49-F238E27FC236}">
              <a16:creationId xmlns:a16="http://schemas.microsoft.com/office/drawing/2014/main" id="{B374C486-121E-43CB-9B60-2BEB99C215A2}"/>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0" y="133826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0</xdr:rowOff>
    </xdr:from>
    <xdr:to>
      <xdr:col>0</xdr:col>
      <xdr:colOff>219075</xdr:colOff>
      <xdr:row>46</xdr:row>
      <xdr:rowOff>114300</xdr:rowOff>
    </xdr:to>
    <xdr:pic>
      <xdr:nvPicPr>
        <xdr:cNvPr id="47" name="Picture 46">
          <a:extLst>
            <a:ext uri="{FF2B5EF4-FFF2-40B4-BE49-F238E27FC236}">
              <a16:creationId xmlns:a16="http://schemas.microsoft.com/office/drawing/2014/main" id="{9EA90F0A-FCC7-4B0E-A3DE-0083C9F9BA10}"/>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0" y="135826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0</xdr:rowOff>
    </xdr:from>
    <xdr:to>
      <xdr:col>0</xdr:col>
      <xdr:colOff>219075</xdr:colOff>
      <xdr:row>47</xdr:row>
      <xdr:rowOff>142875</xdr:rowOff>
    </xdr:to>
    <xdr:pic>
      <xdr:nvPicPr>
        <xdr:cNvPr id="48" name="Picture 47">
          <a:extLst>
            <a:ext uri="{FF2B5EF4-FFF2-40B4-BE49-F238E27FC236}">
              <a16:creationId xmlns:a16="http://schemas.microsoft.com/office/drawing/2014/main" id="{10BF93BD-C310-40E8-909C-BA836BCBD6D9}"/>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0" y="139731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219075</xdr:colOff>
      <xdr:row>48</xdr:row>
      <xdr:rowOff>114300</xdr:rowOff>
    </xdr:to>
    <xdr:pic>
      <xdr:nvPicPr>
        <xdr:cNvPr id="49" name="Picture 48">
          <a:extLst>
            <a:ext uri="{FF2B5EF4-FFF2-40B4-BE49-F238E27FC236}">
              <a16:creationId xmlns:a16="http://schemas.microsoft.com/office/drawing/2014/main" id="{1B3285B1-224D-47B7-9A06-2A9353F1D50F}"/>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0" y="14363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219075</xdr:colOff>
      <xdr:row>49</xdr:row>
      <xdr:rowOff>142875</xdr:rowOff>
    </xdr:to>
    <xdr:pic>
      <xdr:nvPicPr>
        <xdr:cNvPr id="50" name="Picture 49">
          <a:extLst>
            <a:ext uri="{FF2B5EF4-FFF2-40B4-BE49-F238E27FC236}">
              <a16:creationId xmlns:a16="http://schemas.microsoft.com/office/drawing/2014/main" id="{CC8D4DFC-9520-48E2-85C2-0A045F5664FA}"/>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0" y="147542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0</xdr:rowOff>
    </xdr:from>
    <xdr:to>
      <xdr:col>0</xdr:col>
      <xdr:colOff>219075</xdr:colOff>
      <xdr:row>50</xdr:row>
      <xdr:rowOff>142875</xdr:rowOff>
    </xdr:to>
    <xdr:pic>
      <xdr:nvPicPr>
        <xdr:cNvPr id="51" name="Picture 50">
          <a:extLst>
            <a:ext uri="{FF2B5EF4-FFF2-40B4-BE49-F238E27FC236}">
              <a16:creationId xmlns:a16="http://schemas.microsoft.com/office/drawing/2014/main" id="{4B4FFC77-F8E9-4612-9BB5-3E711076D224}"/>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0" y="14954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0</xdr:col>
      <xdr:colOff>219075</xdr:colOff>
      <xdr:row>51</xdr:row>
      <xdr:rowOff>114300</xdr:rowOff>
    </xdr:to>
    <xdr:pic>
      <xdr:nvPicPr>
        <xdr:cNvPr id="52" name="Picture 51">
          <a:extLst>
            <a:ext uri="{FF2B5EF4-FFF2-40B4-BE49-F238E27FC236}">
              <a16:creationId xmlns:a16="http://schemas.microsoft.com/office/drawing/2014/main" id="{FD6F73C6-3A84-4307-9462-5049A00017A3}"/>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0" y="153447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219075</xdr:colOff>
      <xdr:row>52</xdr:row>
      <xdr:rowOff>142875</xdr:rowOff>
    </xdr:to>
    <xdr:pic>
      <xdr:nvPicPr>
        <xdr:cNvPr id="53" name="Picture 52">
          <a:extLst>
            <a:ext uri="{FF2B5EF4-FFF2-40B4-BE49-F238E27FC236}">
              <a16:creationId xmlns:a16="http://schemas.microsoft.com/office/drawing/2014/main" id="{F66E31B0-4601-4C4B-826C-212839E21D85}"/>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0" y="157353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219075</xdr:colOff>
      <xdr:row>53</xdr:row>
      <xdr:rowOff>142875</xdr:rowOff>
    </xdr:to>
    <xdr:pic>
      <xdr:nvPicPr>
        <xdr:cNvPr id="54" name="Picture 53">
          <a:extLst>
            <a:ext uri="{FF2B5EF4-FFF2-40B4-BE49-F238E27FC236}">
              <a16:creationId xmlns:a16="http://schemas.microsoft.com/office/drawing/2014/main" id="{D3C5D7B5-1555-4461-86F9-1186C7DE2D56}"/>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0" y="161258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219075</xdr:colOff>
      <xdr:row>54</xdr:row>
      <xdr:rowOff>142875</xdr:rowOff>
    </xdr:to>
    <xdr:pic>
      <xdr:nvPicPr>
        <xdr:cNvPr id="55" name="Picture 54">
          <a:extLst>
            <a:ext uri="{FF2B5EF4-FFF2-40B4-BE49-F238E27FC236}">
              <a16:creationId xmlns:a16="http://schemas.microsoft.com/office/drawing/2014/main" id="{363D0272-FD50-412D-B70B-B88D42D169A7}"/>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0" y="165163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219075</xdr:colOff>
      <xdr:row>55</xdr:row>
      <xdr:rowOff>142875</xdr:rowOff>
    </xdr:to>
    <xdr:pic>
      <xdr:nvPicPr>
        <xdr:cNvPr id="56" name="Picture 55">
          <a:extLst>
            <a:ext uri="{FF2B5EF4-FFF2-40B4-BE49-F238E27FC236}">
              <a16:creationId xmlns:a16="http://schemas.microsoft.com/office/drawing/2014/main" id="{7C89C053-CADA-4F38-8201-B924AD88DB5A}"/>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0" y="169068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219075</xdr:colOff>
      <xdr:row>56</xdr:row>
      <xdr:rowOff>142875</xdr:rowOff>
    </xdr:to>
    <xdr:pic>
      <xdr:nvPicPr>
        <xdr:cNvPr id="57" name="Picture 56">
          <a:extLst>
            <a:ext uri="{FF2B5EF4-FFF2-40B4-BE49-F238E27FC236}">
              <a16:creationId xmlns:a16="http://schemas.microsoft.com/office/drawing/2014/main" id="{55B51BFE-3154-4661-A7F3-2184A90E8CBE}"/>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0" y="171069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0</xdr:col>
      <xdr:colOff>219075</xdr:colOff>
      <xdr:row>57</xdr:row>
      <xdr:rowOff>142875</xdr:rowOff>
    </xdr:to>
    <xdr:pic>
      <xdr:nvPicPr>
        <xdr:cNvPr id="58" name="Picture 57">
          <a:extLst>
            <a:ext uri="{FF2B5EF4-FFF2-40B4-BE49-F238E27FC236}">
              <a16:creationId xmlns:a16="http://schemas.microsoft.com/office/drawing/2014/main" id="{8FE96F44-B1C7-4C3A-9106-C85FE53E1822}"/>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0" y="174974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219075</xdr:colOff>
      <xdr:row>58</xdr:row>
      <xdr:rowOff>142875</xdr:rowOff>
    </xdr:to>
    <xdr:pic>
      <xdr:nvPicPr>
        <xdr:cNvPr id="59" name="Picture 58">
          <a:extLst>
            <a:ext uri="{FF2B5EF4-FFF2-40B4-BE49-F238E27FC236}">
              <a16:creationId xmlns:a16="http://schemas.microsoft.com/office/drawing/2014/main" id="{EAD68428-A7DB-4FFF-B954-4770EA925430}"/>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0" y="178879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0</xdr:col>
      <xdr:colOff>219075</xdr:colOff>
      <xdr:row>59</xdr:row>
      <xdr:rowOff>142875</xdr:rowOff>
    </xdr:to>
    <xdr:pic>
      <xdr:nvPicPr>
        <xdr:cNvPr id="60" name="Picture 59">
          <a:extLst>
            <a:ext uri="{FF2B5EF4-FFF2-40B4-BE49-F238E27FC236}">
              <a16:creationId xmlns:a16="http://schemas.microsoft.com/office/drawing/2014/main" id="{20E4F274-65D1-4A07-B052-6DAD7A00978F}"/>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0" y="180879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219075</xdr:colOff>
      <xdr:row>60</xdr:row>
      <xdr:rowOff>142875</xdr:rowOff>
    </xdr:to>
    <xdr:pic>
      <xdr:nvPicPr>
        <xdr:cNvPr id="61" name="Picture 60">
          <a:extLst>
            <a:ext uri="{FF2B5EF4-FFF2-40B4-BE49-F238E27FC236}">
              <a16:creationId xmlns:a16="http://schemas.microsoft.com/office/drawing/2014/main" id="{DEA6D227-333F-4737-A5D8-126D8AE2E3B9}"/>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0" y="184785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0</xdr:col>
      <xdr:colOff>219075</xdr:colOff>
      <xdr:row>61</xdr:row>
      <xdr:rowOff>114300</xdr:rowOff>
    </xdr:to>
    <xdr:pic>
      <xdr:nvPicPr>
        <xdr:cNvPr id="62" name="Picture 61">
          <a:extLst>
            <a:ext uri="{FF2B5EF4-FFF2-40B4-BE49-F238E27FC236}">
              <a16:creationId xmlns:a16="http://schemas.microsoft.com/office/drawing/2014/main" id="{7A70AB72-5C72-47BA-B2B0-BACEBF4A9C17}"/>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0" y="186785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219075</xdr:colOff>
      <xdr:row>62</xdr:row>
      <xdr:rowOff>142875</xdr:rowOff>
    </xdr:to>
    <xdr:pic>
      <xdr:nvPicPr>
        <xdr:cNvPr id="63" name="Picture 62">
          <a:extLst>
            <a:ext uri="{FF2B5EF4-FFF2-40B4-BE49-F238E27FC236}">
              <a16:creationId xmlns:a16="http://schemas.microsoft.com/office/drawing/2014/main" id="{2BE06A83-DD25-4538-972A-A971701A2370}"/>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0" y="190690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219075</xdr:colOff>
      <xdr:row>63</xdr:row>
      <xdr:rowOff>142875</xdr:rowOff>
    </xdr:to>
    <xdr:pic>
      <xdr:nvPicPr>
        <xdr:cNvPr id="64" name="Picture 63">
          <a:extLst>
            <a:ext uri="{FF2B5EF4-FFF2-40B4-BE49-F238E27FC236}">
              <a16:creationId xmlns:a16="http://schemas.microsoft.com/office/drawing/2014/main" id="{D002D174-C2C8-44B4-87D9-13688E0A3281}"/>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0" y="192690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0</xdr:col>
      <xdr:colOff>171450</xdr:colOff>
      <xdr:row>64</xdr:row>
      <xdr:rowOff>142875</xdr:rowOff>
    </xdr:to>
    <xdr:pic>
      <xdr:nvPicPr>
        <xdr:cNvPr id="65" name="Picture 64">
          <a:extLst>
            <a:ext uri="{FF2B5EF4-FFF2-40B4-BE49-F238E27FC236}">
              <a16:creationId xmlns:a16="http://schemas.microsoft.com/office/drawing/2014/main" id="{5A903F03-D426-4373-9BC2-34295D63E903}"/>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0" y="19469100"/>
          <a:ext cx="1714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152400</xdr:colOff>
      <xdr:row>65</xdr:row>
      <xdr:rowOff>152400</xdr:rowOff>
    </xdr:to>
    <xdr:pic>
      <xdr:nvPicPr>
        <xdr:cNvPr id="66" name="Picture 65">
          <a:extLst>
            <a:ext uri="{FF2B5EF4-FFF2-40B4-BE49-F238E27FC236}">
              <a16:creationId xmlns:a16="http://schemas.microsoft.com/office/drawing/2014/main" id="{D91F594A-32FD-4443-8B16-47CEEE6BA838}"/>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0" y="1966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0</xdr:rowOff>
    </xdr:from>
    <xdr:to>
      <xdr:col>0</xdr:col>
      <xdr:colOff>219075</xdr:colOff>
      <xdr:row>66</xdr:row>
      <xdr:rowOff>142875</xdr:rowOff>
    </xdr:to>
    <xdr:pic>
      <xdr:nvPicPr>
        <xdr:cNvPr id="67" name="Picture 66">
          <a:extLst>
            <a:ext uri="{FF2B5EF4-FFF2-40B4-BE49-F238E27FC236}">
              <a16:creationId xmlns:a16="http://schemas.microsoft.com/office/drawing/2014/main" id="{D35C2F79-9937-49A5-87E4-1D6A9914B9F0}"/>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0" y="200596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0</xdr:col>
      <xdr:colOff>219075</xdr:colOff>
      <xdr:row>67</xdr:row>
      <xdr:rowOff>114300</xdr:rowOff>
    </xdr:to>
    <xdr:pic>
      <xdr:nvPicPr>
        <xdr:cNvPr id="68" name="Picture 67">
          <a:extLst>
            <a:ext uri="{FF2B5EF4-FFF2-40B4-BE49-F238E27FC236}">
              <a16:creationId xmlns:a16="http://schemas.microsoft.com/office/drawing/2014/main" id="{822866DD-19AD-4CD6-8AB0-E310A5775140}"/>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0" y="202596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0</xdr:col>
      <xdr:colOff>219075</xdr:colOff>
      <xdr:row>68</xdr:row>
      <xdr:rowOff>114300</xdr:rowOff>
    </xdr:to>
    <xdr:pic>
      <xdr:nvPicPr>
        <xdr:cNvPr id="69" name="Picture 68">
          <a:extLst>
            <a:ext uri="{FF2B5EF4-FFF2-40B4-BE49-F238E27FC236}">
              <a16:creationId xmlns:a16="http://schemas.microsoft.com/office/drawing/2014/main" id="{F0EEE134-9978-4814-8694-EBE2E255283C}"/>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20650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219075</xdr:colOff>
      <xdr:row>69</xdr:row>
      <xdr:rowOff>114300</xdr:rowOff>
    </xdr:to>
    <xdr:pic>
      <xdr:nvPicPr>
        <xdr:cNvPr id="70" name="Picture 69">
          <a:extLst>
            <a:ext uri="{FF2B5EF4-FFF2-40B4-BE49-F238E27FC236}">
              <a16:creationId xmlns:a16="http://schemas.microsoft.com/office/drawing/2014/main" id="{3912EF77-6D60-4F7A-826C-85EB90B42094}"/>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0" y="208502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219075</xdr:colOff>
      <xdr:row>70</xdr:row>
      <xdr:rowOff>142875</xdr:rowOff>
    </xdr:to>
    <xdr:pic>
      <xdr:nvPicPr>
        <xdr:cNvPr id="71" name="Picture 70">
          <a:extLst>
            <a:ext uri="{FF2B5EF4-FFF2-40B4-BE49-F238E27FC236}">
              <a16:creationId xmlns:a16="http://schemas.microsoft.com/office/drawing/2014/main" id="{8698EDC8-2203-484E-AB17-44E8860DB95B}"/>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0" y="21050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0</xdr:rowOff>
    </xdr:from>
    <xdr:to>
      <xdr:col>0</xdr:col>
      <xdr:colOff>219075</xdr:colOff>
      <xdr:row>71</xdr:row>
      <xdr:rowOff>114300</xdr:rowOff>
    </xdr:to>
    <xdr:pic>
      <xdr:nvPicPr>
        <xdr:cNvPr id="72" name="Picture 71">
          <a:extLst>
            <a:ext uri="{FF2B5EF4-FFF2-40B4-BE49-F238E27FC236}">
              <a16:creationId xmlns:a16="http://schemas.microsoft.com/office/drawing/2014/main" id="{7D690DD9-0DEB-419D-A409-A2C88B7DF8EF}"/>
            </a:ext>
          </a:extLst>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0" y="214407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0</xdr:rowOff>
    </xdr:from>
    <xdr:to>
      <xdr:col>0</xdr:col>
      <xdr:colOff>219075</xdr:colOff>
      <xdr:row>72</xdr:row>
      <xdr:rowOff>133350</xdr:rowOff>
    </xdr:to>
    <xdr:pic>
      <xdr:nvPicPr>
        <xdr:cNvPr id="73" name="Picture 72">
          <a:extLst>
            <a:ext uri="{FF2B5EF4-FFF2-40B4-BE49-F238E27FC236}">
              <a16:creationId xmlns:a16="http://schemas.microsoft.com/office/drawing/2014/main" id="{3EE19287-1A36-44F5-B3E9-A4B2E39879DC}"/>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0" y="218313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219075</xdr:colOff>
      <xdr:row>73</xdr:row>
      <xdr:rowOff>142875</xdr:rowOff>
    </xdr:to>
    <xdr:pic>
      <xdr:nvPicPr>
        <xdr:cNvPr id="74" name="Picture 73">
          <a:extLst>
            <a:ext uri="{FF2B5EF4-FFF2-40B4-BE49-F238E27FC236}">
              <a16:creationId xmlns:a16="http://schemas.microsoft.com/office/drawing/2014/main" id="{1DA248D0-7453-43E9-A4E1-6A5CE4856D37}"/>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0" y="222218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0</xdr:col>
      <xdr:colOff>219075</xdr:colOff>
      <xdr:row>74</xdr:row>
      <xdr:rowOff>142875</xdr:rowOff>
    </xdr:to>
    <xdr:pic>
      <xdr:nvPicPr>
        <xdr:cNvPr id="75" name="Picture 74">
          <a:extLst>
            <a:ext uri="{FF2B5EF4-FFF2-40B4-BE49-F238E27FC236}">
              <a16:creationId xmlns:a16="http://schemas.microsoft.com/office/drawing/2014/main" id="{F2EE86B3-4A7E-49D1-8D93-E8BF56E8F368}"/>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0" y="224218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0</xdr:col>
      <xdr:colOff>219075</xdr:colOff>
      <xdr:row>75</xdr:row>
      <xdr:rowOff>142875</xdr:rowOff>
    </xdr:to>
    <xdr:pic>
      <xdr:nvPicPr>
        <xdr:cNvPr id="76" name="Picture 75">
          <a:extLst>
            <a:ext uri="{FF2B5EF4-FFF2-40B4-BE49-F238E27FC236}">
              <a16:creationId xmlns:a16="http://schemas.microsoft.com/office/drawing/2014/main" id="{9597095D-1C2A-44FB-9926-5DD469E1BAE5}"/>
            </a:ext>
          </a:extLst>
        </xdr:cNvPr>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0" y="226218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0</xdr:rowOff>
    </xdr:from>
    <xdr:to>
      <xdr:col>0</xdr:col>
      <xdr:colOff>209550</xdr:colOff>
      <xdr:row>76</xdr:row>
      <xdr:rowOff>142875</xdr:rowOff>
    </xdr:to>
    <xdr:pic>
      <xdr:nvPicPr>
        <xdr:cNvPr id="77" name="Picture 76">
          <a:extLst>
            <a:ext uri="{FF2B5EF4-FFF2-40B4-BE49-F238E27FC236}">
              <a16:creationId xmlns:a16="http://schemas.microsoft.com/office/drawing/2014/main" id="{81D6A379-58DE-4672-93EC-A2C5FF7048A5}"/>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3012400"/>
          <a:ext cx="2095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219075</xdr:colOff>
      <xdr:row>77</xdr:row>
      <xdr:rowOff>142875</xdr:rowOff>
    </xdr:to>
    <xdr:pic>
      <xdr:nvPicPr>
        <xdr:cNvPr id="78" name="Picture 77">
          <a:extLst>
            <a:ext uri="{FF2B5EF4-FFF2-40B4-BE49-F238E27FC236}">
              <a16:creationId xmlns:a16="http://schemas.microsoft.com/office/drawing/2014/main" id="{77E89130-1097-4FF1-BB9B-8630FCE6AF8D}"/>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0" y="234029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xdr:row>
      <xdr:rowOff>0</xdr:rowOff>
    </xdr:from>
    <xdr:to>
      <xdr:col>0</xdr:col>
      <xdr:colOff>219075</xdr:colOff>
      <xdr:row>78</xdr:row>
      <xdr:rowOff>133350</xdr:rowOff>
    </xdr:to>
    <xdr:pic>
      <xdr:nvPicPr>
        <xdr:cNvPr id="79" name="Picture 78">
          <a:extLst>
            <a:ext uri="{FF2B5EF4-FFF2-40B4-BE49-F238E27FC236}">
              <a16:creationId xmlns:a16="http://schemas.microsoft.com/office/drawing/2014/main" id="{49AA0A99-564F-49CF-A407-114E2E96ADA5}"/>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0" y="2398395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0</xdr:rowOff>
    </xdr:from>
    <xdr:to>
      <xdr:col>0</xdr:col>
      <xdr:colOff>219075</xdr:colOff>
      <xdr:row>79</xdr:row>
      <xdr:rowOff>142875</xdr:rowOff>
    </xdr:to>
    <xdr:pic>
      <xdr:nvPicPr>
        <xdr:cNvPr id="80" name="Picture 79">
          <a:extLst>
            <a:ext uri="{FF2B5EF4-FFF2-40B4-BE49-F238E27FC236}">
              <a16:creationId xmlns:a16="http://schemas.microsoft.com/office/drawing/2014/main" id="{7F19A770-950C-4843-A363-00BE10DC7A5C}"/>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0" y="241839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0</xdr:rowOff>
    </xdr:from>
    <xdr:to>
      <xdr:col>0</xdr:col>
      <xdr:colOff>200025</xdr:colOff>
      <xdr:row>80</xdr:row>
      <xdr:rowOff>142875</xdr:rowOff>
    </xdr:to>
    <xdr:pic>
      <xdr:nvPicPr>
        <xdr:cNvPr id="81" name="Picture 80">
          <a:extLst>
            <a:ext uri="{FF2B5EF4-FFF2-40B4-BE49-F238E27FC236}">
              <a16:creationId xmlns:a16="http://schemas.microsoft.com/office/drawing/2014/main" id="{5616FDDF-C65A-4470-B09E-A0E93526275D}"/>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0" y="24384000"/>
          <a:ext cx="2000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0</xdr:rowOff>
    </xdr:from>
    <xdr:to>
      <xdr:col>0</xdr:col>
      <xdr:colOff>219075</xdr:colOff>
      <xdr:row>81</xdr:row>
      <xdr:rowOff>142875</xdr:rowOff>
    </xdr:to>
    <xdr:pic>
      <xdr:nvPicPr>
        <xdr:cNvPr id="82" name="Picture 81">
          <a:extLst>
            <a:ext uri="{FF2B5EF4-FFF2-40B4-BE49-F238E27FC236}">
              <a16:creationId xmlns:a16="http://schemas.microsoft.com/office/drawing/2014/main" id="{1DAC4452-CDDD-4B8B-ADFE-1EB5752DF6DA}"/>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0" y="247745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219075</xdr:colOff>
      <xdr:row>82</xdr:row>
      <xdr:rowOff>133350</xdr:rowOff>
    </xdr:to>
    <xdr:pic>
      <xdr:nvPicPr>
        <xdr:cNvPr id="83" name="Picture 82">
          <a:extLst>
            <a:ext uri="{FF2B5EF4-FFF2-40B4-BE49-F238E27FC236}">
              <a16:creationId xmlns:a16="http://schemas.microsoft.com/office/drawing/2014/main" id="{B38FA6E0-810F-4DAF-A0BA-49682E77C2BA}"/>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0" y="2497455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219075</xdr:colOff>
      <xdr:row>83</xdr:row>
      <xdr:rowOff>133350</xdr:rowOff>
    </xdr:to>
    <xdr:pic>
      <xdr:nvPicPr>
        <xdr:cNvPr id="84" name="Picture 83">
          <a:extLst>
            <a:ext uri="{FF2B5EF4-FFF2-40B4-BE49-F238E27FC236}">
              <a16:creationId xmlns:a16="http://schemas.microsoft.com/office/drawing/2014/main" id="{D8AE485E-C977-4802-B0B6-0D16F7DE0E30}"/>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0" y="2536507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0</xdr:rowOff>
    </xdr:from>
    <xdr:to>
      <xdr:col>0</xdr:col>
      <xdr:colOff>219075</xdr:colOff>
      <xdr:row>84</xdr:row>
      <xdr:rowOff>142875</xdr:rowOff>
    </xdr:to>
    <xdr:pic>
      <xdr:nvPicPr>
        <xdr:cNvPr id="85" name="Picture 84">
          <a:extLst>
            <a:ext uri="{FF2B5EF4-FFF2-40B4-BE49-F238E27FC236}">
              <a16:creationId xmlns:a16="http://schemas.microsoft.com/office/drawing/2014/main" id="{2B2F60E7-EA68-46CC-8D43-304C694DB2A0}"/>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0" y="255651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219075</xdr:colOff>
      <xdr:row>85</xdr:row>
      <xdr:rowOff>133350</xdr:rowOff>
    </xdr:to>
    <xdr:pic>
      <xdr:nvPicPr>
        <xdr:cNvPr id="86" name="Picture 85">
          <a:extLst>
            <a:ext uri="{FF2B5EF4-FFF2-40B4-BE49-F238E27FC236}">
              <a16:creationId xmlns:a16="http://schemas.microsoft.com/office/drawing/2014/main" id="{287D4E7A-C176-4DA9-8D65-DA0875B36A80}"/>
            </a:ext>
          </a:extLst>
        </xdr:cNvPr>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0" y="2633662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200025</xdr:colOff>
      <xdr:row>86</xdr:row>
      <xdr:rowOff>142875</xdr:rowOff>
    </xdr:to>
    <xdr:pic>
      <xdr:nvPicPr>
        <xdr:cNvPr id="87" name="Picture 86">
          <a:extLst>
            <a:ext uri="{FF2B5EF4-FFF2-40B4-BE49-F238E27FC236}">
              <a16:creationId xmlns:a16="http://schemas.microsoft.com/office/drawing/2014/main" id="{71611B5E-1932-4FC2-917C-BA968820731A}"/>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0" y="26536650"/>
          <a:ext cx="2000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xdr:row>
      <xdr:rowOff>0</xdr:rowOff>
    </xdr:from>
    <xdr:to>
      <xdr:col>0</xdr:col>
      <xdr:colOff>219075</xdr:colOff>
      <xdr:row>87</xdr:row>
      <xdr:rowOff>142875</xdr:rowOff>
    </xdr:to>
    <xdr:pic>
      <xdr:nvPicPr>
        <xdr:cNvPr id="88" name="Picture 87">
          <a:extLst>
            <a:ext uri="{FF2B5EF4-FFF2-40B4-BE49-F238E27FC236}">
              <a16:creationId xmlns:a16="http://schemas.microsoft.com/office/drawing/2014/main" id="{D49E676D-A755-4AF3-BF20-5C60E9676CA6}"/>
            </a:ext>
          </a:extLst>
        </xdr:cNvPr>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0" y="267366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0</xdr:col>
      <xdr:colOff>219075</xdr:colOff>
      <xdr:row>88</xdr:row>
      <xdr:rowOff>142875</xdr:rowOff>
    </xdr:to>
    <xdr:pic>
      <xdr:nvPicPr>
        <xdr:cNvPr id="89" name="Picture 88">
          <a:extLst>
            <a:ext uri="{FF2B5EF4-FFF2-40B4-BE49-F238E27FC236}">
              <a16:creationId xmlns:a16="http://schemas.microsoft.com/office/drawing/2014/main" id="{0BF7542A-1BB3-4AD8-8492-E7CFCEF82B52}"/>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0" y="26936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219075</xdr:colOff>
      <xdr:row>89</xdr:row>
      <xdr:rowOff>114300</xdr:rowOff>
    </xdr:to>
    <xdr:pic>
      <xdr:nvPicPr>
        <xdr:cNvPr id="90" name="Picture 89">
          <a:extLst>
            <a:ext uri="{FF2B5EF4-FFF2-40B4-BE49-F238E27FC236}">
              <a16:creationId xmlns:a16="http://schemas.microsoft.com/office/drawing/2014/main" id="{DA924180-4A19-4471-A15A-AB0998762318}"/>
            </a:ext>
          </a:extLst>
        </xdr:cNvPr>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0" y="271367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0</xdr:rowOff>
    </xdr:from>
    <xdr:to>
      <xdr:col>0</xdr:col>
      <xdr:colOff>219075</xdr:colOff>
      <xdr:row>90</xdr:row>
      <xdr:rowOff>114300</xdr:rowOff>
    </xdr:to>
    <xdr:pic>
      <xdr:nvPicPr>
        <xdr:cNvPr id="91" name="Picture 90">
          <a:extLst>
            <a:ext uri="{FF2B5EF4-FFF2-40B4-BE49-F238E27FC236}">
              <a16:creationId xmlns:a16="http://schemas.microsoft.com/office/drawing/2014/main" id="{8141251B-6C55-4B6A-B917-88D5628D2F70}"/>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0" y="275272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219075</xdr:colOff>
      <xdr:row>91</xdr:row>
      <xdr:rowOff>114300</xdr:rowOff>
    </xdr:to>
    <xdr:pic>
      <xdr:nvPicPr>
        <xdr:cNvPr id="92" name="Picture 91">
          <a:extLst>
            <a:ext uri="{FF2B5EF4-FFF2-40B4-BE49-F238E27FC236}">
              <a16:creationId xmlns:a16="http://schemas.microsoft.com/office/drawing/2014/main" id="{81AED37A-272A-4926-8491-04ADFDCB6759}"/>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0" y="279177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0</xdr:rowOff>
    </xdr:from>
    <xdr:to>
      <xdr:col>0</xdr:col>
      <xdr:colOff>219075</xdr:colOff>
      <xdr:row>92</xdr:row>
      <xdr:rowOff>114300</xdr:rowOff>
    </xdr:to>
    <xdr:pic>
      <xdr:nvPicPr>
        <xdr:cNvPr id="93" name="Picture 92">
          <a:extLst>
            <a:ext uri="{FF2B5EF4-FFF2-40B4-BE49-F238E27FC236}">
              <a16:creationId xmlns:a16="http://schemas.microsoft.com/office/drawing/2014/main" id="{4C67CBB6-DAE4-4901-AABD-526FEFC201EA}"/>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0" y="283083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219075</xdr:colOff>
      <xdr:row>93</xdr:row>
      <xdr:rowOff>142875</xdr:rowOff>
    </xdr:to>
    <xdr:pic>
      <xdr:nvPicPr>
        <xdr:cNvPr id="94" name="Picture 93">
          <a:extLst>
            <a:ext uri="{FF2B5EF4-FFF2-40B4-BE49-F238E27FC236}">
              <a16:creationId xmlns:a16="http://schemas.microsoft.com/office/drawing/2014/main" id="{FEFFE00E-E657-4ABB-B226-D65FB8B0586A}"/>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0" y="286988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219075</xdr:colOff>
      <xdr:row>94</xdr:row>
      <xdr:rowOff>142875</xdr:rowOff>
    </xdr:to>
    <xdr:pic>
      <xdr:nvPicPr>
        <xdr:cNvPr id="95" name="Picture 94">
          <a:extLst>
            <a:ext uri="{FF2B5EF4-FFF2-40B4-BE49-F238E27FC236}">
              <a16:creationId xmlns:a16="http://schemas.microsoft.com/office/drawing/2014/main" id="{6BFE594B-CD3C-4B75-BAB4-27E8CE5F61D0}"/>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0" y="288988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0</xdr:rowOff>
    </xdr:from>
    <xdr:to>
      <xdr:col>0</xdr:col>
      <xdr:colOff>219075</xdr:colOff>
      <xdr:row>95</xdr:row>
      <xdr:rowOff>142875</xdr:rowOff>
    </xdr:to>
    <xdr:pic>
      <xdr:nvPicPr>
        <xdr:cNvPr id="96" name="Picture 95">
          <a:extLst>
            <a:ext uri="{FF2B5EF4-FFF2-40B4-BE49-F238E27FC236}">
              <a16:creationId xmlns:a16="http://schemas.microsoft.com/office/drawing/2014/main" id="{4CAEBEE9-8CCC-4F0E-BB24-8DCD301841E6}"/>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0" y="290988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0</xdr:col>
      <xdr:colOff>219075</xdr:colOff>
      <xdr:row>96</xdr:row>
      <xdr:rowOff>114300</xdr:rowOff>
    </xdr:to>
    <xdr:pic>
      <xdr:nvPicPr>
        <xdr:cNvPr id="97" name="Picture 96">
          <a:extLst>
            <a:ext uri="{FF2B5EF4-FFF2-40B4-BE49-F238E27FC236}">
              <a16:creationId xmlns:a16="http://schemas.microsoft.com/office/drawing/2014/main" id="{92190E2F-35E1-4508-AE92-2AFD5CE86C3F}"/>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0" y="292989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0</xdr:col>
      <xdr:colOff>219075</xdr:colOff>
      <xdr:row>97</xdr:row>
      <xdr:rowOff>114300</xdr:rowOff>
    </xdr:to>
    <xdr:pic>
      <xdr:nvPicPr>
        <xdr:cNvPr id="98" name="Picture 97">
          <a:extLst>
            <a:ext uri="{FF2B5EF4-FFF2-40B4-BE49-F238E27FC236}">
              <a16:creationId xmlns:a16="http://schemas.microsoft.com/office/drawing/2014/main" id="{616BD2EC-D3F6-4355-B0D4-1066F39C5E40}"/>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0" y="296894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0</xdr:rowOff>
    </xdr:from>
    <xdr:to>
      <xdr:col>0</xdr:col>
      <xdr:colOff>219075</xdr:colOff>
      <xdr:row>98</xdr:row>
      <xdr:rowOff>142875</xdr:rowOff>
    </xdr:to>
    <xdr:pic>
      <xdr:nvPicPr>
        <xdr:cNvPr id="99" name="Picture 98">
          <a:extLst>
            <a:ext uri="{FF2B5EF4-FFF2-40B4-BE49-F238E27FC236}">
              <a16:creationId xmlns:a16="http://schemas.microsoft.com/office/drawing/2014/main" id="{75F9BDCD-7AD3-4E91-BE52-F7E886A46A1F}"/>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0" y="298894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0</xdr:col>
      <xdr:colOff>219075</xdr:colOff>
      <xdr:row>99</xdr:row>
      <xdr:rowOff>133350</xdr:rowOff>
    </xdr:to>
    <xdr:pic>
      <xdr:nvPicPr>
        <xdr:cNvPr id="100" name="Picture 99">
          <a:extLst>
            <a:ext uri="{FF2B5EF4-FFF2-40B4-BE49-F238E27FC236}">
              <a16:creationId xmlns:a16="http://schemas.microsoft.com/office/drawing/2014/main" id="{40651526-D194-4A32-A573-3B9510E55948}"/>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0" y="3027997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0</xdr:rowOff>
    </xdr:from>
    <xdr:to>
      <xdr:col>0</xdr:col>
      <xdr:colOff>219075</xdr:colOff>
      <xdr:row>100</xdr:row>
      <xdr:rowOff>123825</xdr:rowOff>
    </xdr:to>
    <xdr:pic>
      <xdr:nvPicPr>
        <xdr:cNvPr id="101" name="Picture 100">
          <a:extLst>
            <a:ext uri="{FF2B5EF4-FFF2-40B4-BE49-F238E27FC236}">
              <a16:creationId xmlns:a16="http://schemas.microsoft.com/office/drawing/2014/main" id="{6063058F-9203-4D32-8895-DFE2824644A3}"/>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0" y="30480000"/>
          <a:ext cx="21907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0</xdr:rowOff>
    </xdr:from>
    <xdr:to>
      <xdr:col>0</xdr:col>
      <xdr:colOff>190500</xdr:colOff>
      <xdr:row>101</xdr:row>
      <xdr:rowOff>142875</xdr:rowOff>
    </xdr:to>
    <xdr:pic>
      <xdr:nvPicPr>
        <xdr:cNvPr id="102" name="Picture 101">
          <a:extLst>
            <a:ext uri="{FF2B5EF4-FFF2-40B4-BE49-F238E27FC236}">
              <a16:creationId xmlns:a16="http://schemas.microsoft.com/office/drawing/2014/main" id="{F0135169-CDF6-475B-A00A-4CBD44F8A29E}"/>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0" y="30870525"/>
          <a:ext cx="1905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219075</xdr:colOff>
      <xdr:row>102</xdr:row>
      <xdr:rowOff>123825</xdr:rowOff>
    </xdr:to>
    <xdr:pic>
      <xdr:nvPicPr>
        <xdr:cNvPr id="103" name="Picture 102">
          <a:extLst>
            <a:ext uri="{FF2B5EF4-FFF2-40B4-BE49-F238E27FC236}">
              <a16:creationId xmlns:a16="http://schemas.microsoft.com/office/drawing/2014/main" id="{E2EC5190-76F1-4047-AA43-C93BF0C1167A}"/>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0" y="31451550"/>
          <a:ext cx="21907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219075</xdr:colOff>
      <xdr:row>103</xdr:row>
      <xdr:rowOff>133350</xdr:rowOff>
    </xdr:to>
    <xdr:pic>
      <xdr:nvPicPr>
        <xdr:cNvPr id="104" name="Picture 103">
          <a:extLst>
            <a:ext uri="{FF2B5EF4-FFF2-40B4-BE49-F238E27FC236}">
              <a16:creationId xmlns:a16="http://schemas.microsoft.com/office/drawing/2014/main" id="{9C27C545-A128-42F9-B399-9A5B8E4DA7AB}"/>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0" y="3184207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xdr:row>
      <xdr:rowOff>0</xdr:rowOff>
    </xdr:from>
    <xdr:to>
      <xdr:col>0</xdr:col>
      <xdr:colOff>219075</xdr:colOff>
      <xdr:row>104</xdr:row>
      <xdr:rowOff>114300</xdr:rowOff>
    </xdr:to>
    <xdr:pic>
      <xdr:nvPicPr>
        <xdr:cNvPr id="105" name="Picture 104">
          <a:extLst>
            <a:ext uri="{FF2B5EF4-FFF2-40B4-BE49-F238E27FC236}">
              <a16:creationId xmlns:a16="http://schemas.microsoft.com/office/drawing/2014/main" id="{04CF5740-1F02-4287-A58F-AB806BC88DB1}"/>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0" y="322326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xdr:row>
      <xdr:rowOff>0</xdr:rowOff>
    </xdr:from>
    <xdr:to>
      <xdr:col>0</xdr:col>
      <xdr:colOff>219075</xdr:colOff>
      <xdr:row>105</xdr:row>
      <xdr:rowOff>133350</xdr:rowOff>
    </xdr:to>
    <xdr:pic>
      <xdr:nvPicPr>
        <xdr:cNvPr id="106" name="Picture 105">
          <a:extLst>
            <a:ext uri="{FF2B5EF4-FFF2-40B4-BE49-F238E27FC236}">
              <a16:creationId xmlns:a16="http://schemas.microsoft.com/office/drawing/2014/main" id="{A6C5613C-14D9-4449-8075-65C69447D120}"/>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0" y="3262312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0</xdr:rowOff>
    </xdr:from>
    <xdr:to>
      <xdr:col>0</xdr:col>
      <xdr:colOff>219075</xdr:colOff>
      <xdr:row>106</xdr:row>
      <xdr:rowOff>114300</xdr:rowOff>
    </xdr:to>
    <xdr:pic>
      <xdr:nvPicPr>
        <xdr:cNvPr id="107" name="Picture 106">
          <a:extLst>
            <a:ext uri="{FF2B5EF4-FFF2-40B4-BE49-F238E27FC236}">
              <a16:creationId xmlns:a16="http://schemas.microsoft.com/office/drawing/2014/main" id="{1DC86800-4C42-47C5-9D09-E670783792B3}"/>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0" y="330136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0</xdr:rowOff>
    </xdr:from>
    <xdr:to>
      <xdr:col>0</xdr:col>
      <xdr:colOff>219075</xdr:colOff>
      <xdr:row>107</xdr:row>
      <xdr:rowOff>142875</xdr:rowOff>
    </xdr:to>
    <xdr:pic>
      <xdr:nvPicPr>
        <xdr:cNvPr id="108" name="Picture 107">
          <a:extLst>
            <a:ext uri="{FF2B5EF4-FFF2-40B4-BE49-F238E27FC236}">
              <a16:creationId xmlns:a16="http://schemas.microsoft.com/office/drawing/2014/main" id="{F034C19B-AA8C-4012-8C31-14976C779559}"/>
            </a:ext>
          </a:extLst>
        </xdr:cNvPr>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0" y="332136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0</xdr:rowOff>
    </xdr:from>
    <xdr:to>
      <xdr:col>0</xdr:col>
      <xdr:colOff>219075</xdr:colOff>
      <xdr:row>108</xdr:row>
      <xdr:rowOff>133350</xdr:rowOff>
    </xdr:to>
    <xdr:pic>
      <xdr:nvPicPr>
        <xdr:cNvPr id="109" name="Picture 108">
          <a:extLst>
            <a:ext uri="{FF2B5EF4-FFF2-40B4-BE49-F238E27FC236}">
              <a16:creationId xmlns:a16="http://schemas.microsoft.com/office/drawing/2014/main" id="{9FCC9EF8-8D49-497C-8C45-87DF6DD60A95}"/>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0" y="336042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0</xdr:rowOff>
    </xdr:from>
    <xdr:to>
      <xdr:col>0</xdr:col>
      <xdr:colOff>219075</xdr:colOff>
      <xdr:row>109</xdr:row>
      <xdr:rowOff>142875</xdr:rowOff>
    </xdr:to>
    <xdr:pic>
      <xdr:nvPicPr>
        <xdr:cNvPr id="110" name="Picture 109">
          <a:extLst>
            <a:ext uri="{FF2B5EF4-FFF2-40B4-BE49-F238E27FC236}">
              <a16:creationId xmlns:a16="http://schemas.microsoft.com/office/drawing/2014/main" id="{9B7C0316-7982-4680-B64C-0E73938069F3}"/>
            </a:ext>
          </a:extLst>
        </xdr:cNvPr>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0" y="339947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219075</xdr:colOff>
      <xdr:row>110</xdr:row>
      <xdr:rowOff>142875</xdr:rowOff>
    </xdr:to>
    <xdr:pic>
      <xdr:nvPicPr>
        <xdr:cNvPr id="111" name="Picture 110">
          <a:extLst>
            <a:ext uri="{FF2B5EF4-FFF2-40B4-BE49-F238E27FC236}">
              <a16:creationId xmlns:a16="http://schemas.microsoft.com/office/drawing/2014/main" id="{D415A73C-1566-4127-BE44-8022AC8E2806}"/>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0" y="341947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219075</xdr:colOff>
      <xdr:row>111</xdr:row>
      <xdr:rowOff>142875</xdr:rowOff>
    </xdr:to>
    <xdr:pic>
      <xdr:nvPicPr>
        <xdr:cNvPr id="112" name="Picture 111">
          <a:extLst>
            <a:ext uri="{FF2B5EF4-FFF2-40B4-BE49-F238E27FC236}">
              <a16:creationId xmlns:a16="http://schemas.microsoft.com/office/drawing/2014/main" id="{7CCD4E64-4DAD-43DB-BCC0-F69290F48064}"/>
            </a:ext>
          </a:extLst>
        </xdr:cNvPr>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0" y="345852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0</xdr:col>
      <xdr:colOff>219075</xdr:colOff>
      <xdr:row>112</xdr:row>
      <xdr:rowOff>133350</xdr:rowOff>
    </xdr:to>
    <xdr:pic>
      <xdr:nvPicPr>
        <xdr:cNvPr id="113" name="Picture 112">
          <a:extLst>
            <a:ext uri="{FF2B5EF4-FFF2-40B4-BE49-F238E27FC236}">
              <a16:creationId xmlns:a16="http://schemas.microsoft.com/office/drawing/2014/main" id="{3B969A2E-64C1-4E61-9095-572B57C83EE2}"/>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0" y="347853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xdr:row>
      <xdr:rowOff>0</xdr:rowOff>
    </xdr:from>
    <xdr:to>
      <xdr:col>0</xdr:col>
      <xdr:colOff>219075</xdr:colOff>
      <xdr:row>113</xdr:row>
      <xdr:rowOff>142875</xdr:rowOff>
    </xdr:to>
    <xdr:pic>
      <xdr:nvPicPr>
        <xdr:cNvPr id="114" name="Picture 113">
          <a:extLst>
            <a:ext uri="{FF2B5EF4-FFF2-40B4-BE49-F238E27FC236}">
              <a16:creationId xmlns:a16="http://schemas.microsoft.com/office/drawing/2014/main" id="{8C3A141B-2778-45FF-8CBB-8BC8D06C0540}"/>
            </a:ext>
          </a:extLst>
        </xdr:cNvPr>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0" y="351758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0</xdr:rowOff>
    </xdr:from>
    <xdr:to>
      <xdr:col>0</xdr:col>
      <xdr:colOff>219075</xdr:colOff>
      <xdr:row>114</xdr:row>
      <xdr:rowOff>142875</xdr:rowOff>
    </xdr:to>
    <xdr:pic>
      <xdr:nvPicPr>
        <xdr:cNvPr id="115" name="Picture 114">
          <a:extLst>
            <a:ext uri="{FF2B5EF4-FFF2-40B4-BE49-F238E27FC236}">
              <a16:creationId xmlns:a16="http://schemas.microsoft.com/office/drawing/2014/main" id="{FBD4EEB4-2485-4CB8-B98B-DF319D976F0A}"/>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0" y="355663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219075</xdr:colOff>
      <xdr:row>115</xdr:row>
      <xdr:rowOff>142875</xdr:rowOff>
    </xdr:to>
    <xdr:pic>
      <xdr:nvPicPr>
        <xdr:cNvPr id="116" name="Picture 115">
          <a:extLst>
            <a:ext uri="{FF2B5EF4-FFF2-40B4-BE49-F238E27FC236}">
              <a16:creationId xmlns:a16="http://schemas.microsoft.com/office/drawing/2014/main" id="{FABEFD47-2AB3-4C97-B226-E2CFBA872943}"/>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0" y="359568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0</xdr:rowOff>
    </xdr:from>
    <xdr:to>
      <xdr:col>0</xdr:col>
      <xdr:colOff>219075</xdr:colOff>
      <xdr:row>116</xdr:row>
      <xdr:rowOff>142875</xdr:rowOff>
    </xdr:to>
    <xdr:pic>
      <xdr:nvPicPr>
        <xdr:cNvPr id="117" name="Picture 116">
          <a:extLst>
            <a:ext uri="{FF2B5EF4-FFF2-40B4-BE49-F238E27FC236}">
              <a16:creationId xmlns:a16="http://schemas.microsoft.com/office/drawing/2014/main" id="{8E7DF44F-2FCD-446C-867D-BFA485FBC8C3}"/>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0" y="365379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219075</xdr:colOff>
      <xdr:row>117</xdr:row>
      <xdr:rowOff>114300</xdr:rowOff>
    </xdr:to>
    <xdr:pic>
      <xdr:nvPicPr>
        <xdr:cNvPr id="118" name="Picture 117">
          <a:extLst>
            <a:ext uri="{FF2B5EF4-FFF2-40B4-BE49-F238E27FC236}">
              <a16:creationId xmlns:a16="http://schemas.microsoft.com/office/drawing/2014/main" id="{D15979AA-57BA-4F75-9CD5-BA907036D60F}"/>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0" y="367379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219075</xdr:colOff>
      <xdr:row>118</xdr:row>
      <xdr:rowOff>114300</xdr:rowOff>
    </xdr:to>
    <xdr:pic>
      <xdr:nvPicPr>
        <xdr:cNvPr id="119" name="Picture 118">
          <a:extLst>
            <a:ext uri="{FF2B5EF4-FFF2-40B4-BE49-F238E27FC236}">
              <a16:creationId xmlns:a16="http://schemas.microsoft.com/office/drawing/2014/main" id="{519BB493-6BDE-4D7C-AAE8-E2A9C1542EFD}"/>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369379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219075</xdr:colOff>
      <xdr:row>119</xdr:row>
      <xdr:rowOff>114300</xdr:rowOff>
    </xdr:to>
    <xdr:pic>
      <xdr:nvPicPr>
        <xdr:cNvPr id="120" name="Picture 119">
          <a:extLst>
            <a:ext uri="{FF2B5EF4-FFF2-40B4-BE49-F238E27FC236}">
              <a16:creationId xmlns:a16="http://schemas.microsoft.com/office/drawing/2014/main" id="{5BD91712-3CE6-448D-9F19-9CD877A871F1}"/>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0" y="371379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xdr:row>
      <xdr:rowOff>0</xdr:rowOff>
    </xdr:from>
    <xdr:to>
      <xdr:col>0</xdr:col>
      <xdr:colOff>200025</xdr:colOff>
      <xdr:row>120</xdr:row>
      <xdr:rowOff>142875</xdr:rowOff>
    </xdr:to>
    <xdr:pic>
      <xdr:nvPicPr>
        <xdr:cNvPr id="121" name="Picture 120">
          <a:extLst>
            <a:ext uri="{FF2B5EF4-FFF2-40B4-BE49-F238E27FC236}">
              <a16:creationId xmlns:a16="http://schemas.microsoft.com/office/drawing/2014/main" id="{53295EB0-55AC-41F1-9452-F91A5AC9BBFF}"/>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0" y="37528500"/>
          <a:ext cx="2000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219075</xdr:colOff>
      <xdr:row>121</xdr:row>
      <xdr:rowOff>114300</xdr:rowOff>
    </xdr:to>
    <xdr:pic>
      <xdr:nvPicPr>
        <xdr:cNvPr id="122" name="Picture 121">
          <a:extLst>
            <a:ext uri="{FF2B5EF4-FFF2-40B4-BE49-F238E27FC236}">
              <a16:creationId xmlns:a16="http://schemas.microsoft.com/office/drawing/2014/main" id="{ADCF353D-54F7-4BF4-ABC4-D38E314A17BD}"/>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0" y="377285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xdr:row>
      <xdr:rowOff>0</xdr:rowOff>
    </xdr:from>
    <xdr:to>
      <xdr:col>0</xdr:col>
      <xdr:colOff>219075</xdr:colOff>
      <xdr:row>122</xdr:row>
      <xdr:rowOff>114300</xdr:rowOff>
    </xdr:to>
    <xdr:pic>
      <xdr:nvPicPr>
        <xdr:cNvPr id="123" name="Picture 122">
          <a:extLst>
            <a:ext uri="{FF2B5EF4-FFF2-40B4-BE49-F238E27FC236}">
              <a16:creationId xmlns:a16="http://schemas.microsoft.com/office/drawing/2014/main" id="{E9C9608A-2C12-4054-9A27-4E6C58964622}"/>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0" y="379285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0</xdr:rowOff>
    </xdr:from>
    <xdr:to>
      <xdr:col>0</xdr:col>
      <xdr:colOff>219075</xdr:colOff>
      <xdr:row>123</xdr:row>
      <xdr:rowOff>114300</xdr:rowOff>
    </xdr:to>
    <xdr:pic>
      <xdr:nvPicPr>
        <xdr:cNvPr id="124" name="Picture 123">
          <a:extLst>
            <a:ext uri="{FF2B5EF4-FFF2-40B4-BE49-F238E27FC236}">
              <a16:creationId xmlns:a16="http://schemas.microsoft.com/office/drawing/2014/main" id="{FF98CC17-AC49-43FB-864C-3A455EE7A355}"/>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0" y="381285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219075</xdr:colOff>
      <xdr:row>124</xdr:row>
      <xdr:rowOff>114300</xdr:rowOff>
    </xdr:to>
    <xdr:pic>
      <xdr:nvPicPr>
        <xdr:cNvPr id="125" name="Picture 124">
          <a:extLst>
            <a:ext uri="{FF2B5EF4-FFF2-40B4-BE49-F238E27FC236}">
              <a16:creationId xmlns:a16="http://schemas.microsoft.com/office/drawing/2014/main" id="{F93F6909-316A-4637-961D-2AE363764C46}"/>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0" y="385191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0</xdr:rowOff>
    </xdr:from>
    <xdr:to>
      <xdr:col>0</xdr:col>
      <xdr:colOff>219075</xdr:colOff>
      <xdr:row>125</xdr:row>
      <xdr:rowOff>142875</xdr:rowOff>
    </xdr:to>
    <xdr:pic>
      <xdr:nvPicPr>
        <xdr:cNvPr id="126" name="Picture 125">
          <a:extLst>
            <a:ext uri="{FF2B5EF4-FFF2-40B4-BE49-F238E27FC236}">
              <a16:creationId xmlns:a16="http://schemas.microsoft.com/office/drawing/2014/main" id="{90CD9AA7-42DF-4448-905A-2B847DCB3C7E}"/>
            </a:ext>
          </a:extLst>
        </xdr:cNvPr>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0" y="387191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0</xdr:rowOff>
    </xdr:from>
    <xdr:to>
      <xdr:col>0</xdr:col>
      <xdr:colOff>219075</xdr:colOff>
      <xdr:row>126</xdr:row>
      <xdr:rowOff>142875</xdr:rowOff>
    </xdr:to>
    <xdr:pic>
      <xdr:nvPicPr>
        <xdr:cNvPr id="127" name="Picture 126">
          <a:extLst>
            <a:ext uri="{FF2B5EF4-FFF2-40B4-BE49-F238E27FC236}">
              <a16:creationId xmlns:a16="http://schemas.microsoft.com/office/drawing/2014/main" id="{DBB07606-A134-47E9-8D33-B086530506C9}"/>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0" y="391096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0</xdr:rowOff>
    </xdr:from>
    <xdr:to>
      <xdr:col>0</xdr:col>
      <xdr:colOff>219075</xdr:colOff>
      <xdr:row>127</xdr:row>
      <xdr:rowOff>142875</xdr:rowOff>
    </xdr:to>
    <xdr:pic>
      <xdr:nvPicPr>
        <xdr:cNvPr id="128" name="Picture 127">
          <a:extLst>
            <a:ext uri="{FF2B5EF4-FFF2-40B4-BE49-F238E27FC236}">
              <a16:creationId xmlns:a16="http://schemas.microsoft.com/office/drawing/2014/main" id="{98071658-0315-48D8-8FD5-C39B32BB52B9}"/>
            </a:ext>
          </a:extLst>
        </xdr:cNvPr>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0" y="393096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0</xdr:rowOff>
    </xdr:from>
    <xdr:to>
      <xdr:col>0</xdr:col>
      <xdr:colOff>219075</xdr:colOff>
      <xdr:row>128</xdr:row>
      <xdr:rowOff>142875</xdr:rowOff>
    </xdr:to>
    <xdr:pic>
      <xdr:nvPicPr>
        <xdr:cNvPr id="129" name="Picture 128">
          <a:extLst>
            <a:ext uri="{FF2B5EF4-FFF2-40B4-BE49-F238E27FC236}">
              <a16:creationId xmlns:a16="http://schemas.microsoft.com/office/drawing/2014/main" id="{F4652C68-61BC-4952-8BC6-09732D958E07}"/>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39509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xdr:row>
      <xdr:rowOff>0</xdr:rowOff>
    </xdr:from>
    <xdr:to>
      <xdr:col>0</xdr:col>
      <xdr:colOff>219075</xdr:colOff>
      <xdr:row>129</xdr:row>
      <xdr:rowOff>114300</xdr:rowOff>
    </xdr:to>
    <xdr:pic>
      <xdr:nvPicPr>
        <xdr:cNvPr id="130" name="Picture 129">
          <a:extLst>
            <a:ext uri="{FF2B5EF4-FFF2-40B4-BE49-F238E27FC236}">
              <a16:creationId xmlns:a16="http://schemas.microsoft.com/office/drawing/2014/main" id="{61BCB6F3-A545-412A-8C39-5D3481B0C56D}"/>
            </a:ext>
          </a:extLst>
        </xdr:cNvPr>
        <xdr:cNvPicPr>
          <a:picLocks noChangeAspect="1" noChangeArrowheads="1"/>
        </xdr:cNvPicPr>
      </xdr:nvPicPr>
      <xdr:blipFill>
        <a:blip xmlns:r="http://schemas.openxmlformats.org/officeDocument/2006/relationships" r:embed="rId129">
          <a:extLst>
            <a:ext uri="{28A0092B-C50C-407E-A947-70E740481C1C}">
              <a14:useLocalDpi xmlns:a14="http://schemas.microsoft.com/office/drawing/2010/main" val="0"/>
            </a:ext>
          </a:extLst>
        </a:blip>
        <a:srcRect/>
        <a:stretch>
          <a:fillRect/>
        </a:stretch>
      </xdr:blipFill>
      <xdr:spPr bwMode="auto">
        <a:xfrm>
          <a:off x="0" y="397097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190500</xdr:colOff>
      <xdr:row>130</xdr:row>
      <xdr:rowOff>142875</xdr:rowOff>
    </xdr:to>
    <xdr:pic>
      <xdr:nvPicPr>
        <xdr:cNvPr id="131" name="Picture 130">
          <a:extLst>
            <a:ext uri="{FF2B5EF4-FFF2-40B4-BE49-F238E27FC236}">
              <a16:creationId xmlns:a16="http://schemas.microsoft.com/office/drawing/2014/main" id="{12616C4E-CED4-4628-888E-281D5E52173B}"/>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0" y="39909750"/>
          <a:ext cx="1905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0</xdr:rowOff>
    </xdr:from>
    <xdr:to>
      <xdr:col>0</xdr:col>
      <xdr:colOff>219075</xdr:colOff>
      <xdr:row>131</xdr:row>
      <xdr:rowOff>133350</xdr:rowOff>
    </xdr:to>
    <xdr:pic>
      <xdr:nvPicPr>
        <xdr:cNvPr id="132" name="Picture 131">
          <a:extLst>
            <a:ext uri="{FF2B5EF4-FFF2-40B4-BE49-F238E27FC236}">
              <a16:creationId xmlns:a16="http://schemas.microsoft.com/office/drawing/2014/main" id="{A258CBD4-67F4-4CB0-8217-F27A551D4AFC}"/>
            </a:ext>
          </a:extLst>
        </xdr:cNvPr>
        <xdr:cNvPicPr>
          <a:picLocks noChangeAspect="1" noChangeArrowheads="1"/>
        </xdr:cNvPicPr>
      </xdr:nvPicPr>
      <xdr:blipFill>
        <a:blip xmlns:r="http://schemas.openxmlformats.org/officeDocument/2006/relationships" r:embed="rId131">
          <a:extLst>
            <a:ext uri="{28A0092B-C50C-407E-A947-70E740481C1C}">
              <a14:useLocalDpi xmlns:a14="http://schemas.microsoft.com/office/drawing/2010/main" val="0"/>
            </a:ext>
          </a:extLst>
        </a:blip>
        <a:srcRect/>
        <a:stretch>
          <a:fillRect/>
        </a:stretch>
      </xdr:blipFill>
      <xdr:spPr bwMode="auto">
        <a:xfrm>
          <a:off x="0" y="4010977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0</xdr:rowOff>
    </xdr:from>
    <xdr:to>
      <xdr:col>0</xdr:col>
      <xdr:colOff>219075</xdr:colOff>
      <xdr:row>132</xdr:row>
      <xdr:rowOff>142875</xdr:rowOff>
    </xdr:to>
    <xdr:pic>
      <xdr:nvPicPr>
        <xdr:cNvPr id="133" name="Picture 132">
          <a:extLst>
            <a:ext uri="{FF2B5EF4-FFF2-40B4-BE49-F238E27FC236}">
              <a16:creationId xmlns:a16="http://schemas.microsoft.com/office/drawing/2014/main" id="{3B8CA2D0-4C22-4EC9-B16F-3F5480BD9361}"/>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0" y="406908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0</xdr:col>
      <xdr:colOff>219075</xdr:colOff>
      <xdr:row>133</xdr:row>
      <xdr:rowOff>142875</xdr:rowOff>
    </xdr:to>
    <xdr:pic>
      <xdr:nvPicPr>
        <xdr:cNvPr id="134" name="Picture 133">
          <a:extLst>
            <a:ext uri="{FF2B5EF4-FFF2-40B4-BE49-F238E27FC236}">
              <a16:creationId xmlns:a16="http://schemas.microsoft.com/office/drawing/2014/main" id="{72B85AE3-0D38-4DA8-B223-5293A3609A1A}"/>
            </a:ext>
          </a:extLst>
        </xdr:cNvPr>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0" y="410813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xdr:row>
      <xdr:rowOff>0</xdr:rowOff>
    </xdr:from>
    <xdr:to>
      <xdr:col>0</xdr:col>
      <xdr:colOff>219075</xdr:colOff>
      <xdr:row>134</xdr:row>
      <xdr:rowOff>142875</xdr:rowOff>
    </xdr:to>
    <xdr:pic>
      <xdr:nvPicPr>
        <xdr:cNvPr id="135" name="Picture 134">
          <a:extLst>
            <a:ext uri="{FF2B5EF4-FFF2-40B4-BE49-F238E27FC236}">
              <a16:creationId xmlns:a16="http://schemas.microsoft.com/office/drawing/2014/main" id="{8F294F09-2CB0-4A34-8A53-D96D06397921}"/>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0" y="412813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219075</xdr:colOff>
      <xdr:row>135</xdr:row>
      <xdr:rowOff>133350</xdr:rowOff>
    </xdr:to>
    <xdr:pic>
      <xdr:nvPicPr>
        <xdr:cNvPr id="136" name="Picture 135">
          <a:extLst>
            <a:ext uri="{FF2B5EF4-FFF2-40B4-BE49-F238E27FC236}">
              <a16:creationId xmlns:a16="http://schemas.microsoft.com/office/drawing/2014/main" id="{448569CC-A186-4EA4-86EB-CFA3FF25E34C}"/>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0" y="4148137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0</xdr:col>
      <xdr:colOff>219075</xdr:colOff>
      <xdr:row>136</xdr:row>
      <xdr:rowOff>114300</xdr:rowOff>
    </xdr:to>
    <xdr:pic>
      <xdr:nvPicPr>
        <xdr:cNvPr id="137" name="Picture 136">
          <a:extLst>
            <a:ext uri="{FF2B5EF4-FFF2-40B4-BE49-F238E27FC236}">
              <a16:creationId xmlns:a16="http://schemas.microsoft.com/office/drawing/2014/main" id="{0E3171C3-7FDD-4287-9C38-A8BAA38FCB68}"/>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0" y="418719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219075</xdr:colOff>
      <xdr:row>137</xdr:row>
      <xdr:rowOff>142875</xdr:rowOff>
    </xdr:to>
    <xdr:pic>
      <xdr:nvPicPr>
        <xdr:cNvPr id="138" name="Picture 137">
          <a:extLst>
            <a:ext uri="{FF2B5EF4-FFF2-40B4-BE49-F238E27FC236}">
              <a16:creationId xmlns:a16="http://schemas.microsoft.com/office/drawing/2014/main" id="{D7AECFD3-7FCA-473A-8830-D75F3DB09359}"/>
            </a:ext>
          </a:extLst>
        </xdr:cNvPr>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0" y="422624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0</xdr:rowOff>
    </xdr:from>
    <xdr:to>
      <xdr:col>0</xdr:col>
      <xdr:colOff>219075</xdr:colOff>
      <xdr:row>138</xdr:row>
      <xdr:rowOff>142875</xdr:rowOff>
    </xdr:to>
    <xdr:pic>
      <xdr:nvPicPr>
        <xdr:cNvPr id="139" name="Picture 138">
          <a:extLst>
            <a:ext uri="{FF2B5EF4-FFF2-40B4-BE49-F238E27FC236}">
              <a16:creationId xmlns:a16="http://schemas.microsoft.com/office/drawing/2014/main" id="{6236B00F-D106-49DD-B251-81B2E37F40B1}"/>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0" y="426529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219075</xdr:colOff>
      <xdr:row>139</xdr:row>
      <xdr:rowOff>133350</xdr:rowOff>
    </xdr:to>
    <xdr:pic>
      <xdr:nvPicPr>
        <xdr:cNvPr id="140" name="Picture 139">
          <a:extLst>
            <a:ext uri="{FF2B5EF4-FFF2-40B4-BE49-F238E27FC236}">
              <a16:creationId xmlns:a16="http://schemas.microsoft.com/office/drawing/2014/main" id="{21E951A4-385A-4F4F-BA4D-55BD3F37770F}"/>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0" y="4323397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0</xdr:rowOff>
    </xdr:from>
    <xdr:to>
      <xdr:col>0</xdr:col>
      <xdr:colOff>219075</xdr:colOff>
      <xdr:row>140</xdr:row>
      <xdr:rowOff>114300</xdr:rowOff>
    </xdr:to>
    <xdr:pic>
      <xdr:nvPicPr>
        <xdr:cNvPr id="141" name="Picture 140">
          <a:extLst>
            <a:ext uri="{FF2B5EF4-FFF2-40B4-BE49-F238E27FC236}">
              <a16:creationId xmlns:a16="http://schemas.microsoft.com/office/drawing/2014/main" id="{520C30C0-41F4-44AD-8495-A1F9DF2578BF}"/>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0" y="436245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xdr:row>
      <xdr:rowOff>0</xdr:rowOff>
    </xdr:from>
    <xdr:to>
      <xdr:col>0</xdr:col>
      <xdr:colOff>219075</xdr:colOff>
      <xdr:row>141</xdr:row>
      <xdr:rowOff>114300</xdr:rowOff>
    </xdr:to>
    <xdr:pic>
      <xdr:nvPicPr>
        <xdr:cNvPr id="142" name="Picture 141">
          <a:extLst>
            <a:ext uri="{FF2B5EF4-FFF2-40B4-BE49-F238E27FC236}">
              <a16:creationId xmlns:a16="http://schemas.microsoft.com/office/drawing/2014/main" id="{F6F61752-FB1C-44EC-8E24-6CE52F7C9BE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0" y="440150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0</xdr:rowOff>
    </xdr:from>
    <xdr:to>
      <xdr:col>0</xdr:col>
      <xdr:colOff>219075</xdr:colOff>
      <xdr:row>142</xdr:row>
      <xdr:rowOff>142875</xdr:rowOff>
    </xdr:to>
    <xdr:pic>
      <xdr:nvPicPr>
        <xdr:cNvPr id="143" name="Picture 142">
          <a:extLst>
            <a:ext uri="{FF2B5EF4-FFF2-40B4-BE49-F238E27FC236}">
              <a16:creationId xmlns:a16="http://schemas.microsoft.com/office/drawing/2014/main" id="{9D0A7243-20B3-4DC1-9226-EEAA4AF0F2C2}"/>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0" y="444055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xdr:row>
      <xdr:rowOff>0</xdr:rowOff>
    </xdr:from>
    <xdr:to>
      <xdr:col>0</xdr:col>
      <xdr:colOff>219075</xdr:colOff>
      <xdr:row>143</xdr:row>
      <xdr:rowOff>142875</xdr:rowOff>
    </xdr:to>
    <xdr:pic>
      <xdr:nvPicPr>
        <xdr:cNvPr id="144" name="Picture 143">
          <a:extLst>
            <a:ext uri="{FF2B5EF4-FFF2-40B4-BE49-F238E27FC236}">
              <a16:creationId xmlns:a16="http://schemas.microsoft.com/office/drawing/2014/main" id="{F362C01A-0AA6-4C30-AA4C-6FE11F9989E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446055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0</xdr:rowOff>
    </xdr:from>
    <xdr:to>
      <xdr:col>0</xdr:col>
      <xdr:colOff>219075</xdr:colOff>
      <xdr:row>144</xdr:row>
      <xdr:rowOff>142875</xdr:rowOff>
    </xdr:to>
    <xdr:pic>
      <xdr:nvPicPr>
        <xdr:cNvPr id="145" name="Picture 144">
          <a:extLst>
            <a:ext uri="{FF2B5EF4-FFF2-40B4-BE49-F238E27FC236}">
              <a16:creationId xmlns:a16="http://schemas.microsoft.com/office/drawing/2014/main" id="{502E4A6E-C026-4A46-923C-D31847B36211}"/>
            </a:ext>
          </a:extLst>
        </xdr:cNvPr>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0" y="449961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219075</xdr:colOff>
      <xdr:row>145</xdr:row>
      <xdr:rowOff>133350</xdr:rowOff>
    </xdr:to>
    <xdr:pic>
      <xdr:nvPicPr>
        <xdr:cNvPr id="146" name="Picture 145">
          <a:extLst>
            <a:ext uri="{FF2B5EF4-FFF2-40B4-BE49-F238E27FC236}">
              <a16:creationId xmlns:a16="http://schemas.microsoft.com/office/drawing/2014/main" id="{29E646CF-020B-4145-ABBC-49260C038124}"/>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0" y="4538662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0</xdr:rowOff>
    </xdr:from>
    <xdr:to>
      <xdr:col>0</xdr:col>
      <xdr:colOff>219075</xdr:colOff>
      <xdr:row>146</xdr:row>
      <xdr:rowOff>114300</xdr:rowOff>
    </xdr:to>
    <xdr:pic>
      <xdr:nvPicPr>
        <xdr:cNvPr id="147" name="Picture 146">
          <a:extLst>
            <a:ext uri="{FF2B5EF4-FFF2-40B4-BE49-F238E27FC236}">
              <a16:creationId xmlns:a16="http://schemas.microsoft.com/office/drawing/2014/main" id="{298118C5-0339-4F8C-A262-1DF038E41346}"/>
            </a:ext>
          </a:extLst>
        </xdr:cNvPr>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0" y="457771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0</xdr:col>
      <xdr:colOff>219075</xdr:colOff>
      <xdr:row>147</xdr:row>
      <xdr:rowOff>142875</xdr:rowOff>
    </xdr:to>
    <xdr:pic>
      <xdr:nvPicPr>
        <xdr:cNvPr id="148" name="Picture 147">
          <a:extLst>
            <a:ext uri="{FF2B5EF4-FFF2-40B4-BE49-F238E27FC236}">
              <a16:creationId xmlns:a16="http://schemas.microsoft.com/office/drawing/2014/main" id="{1C286793-151C-43E7-BB76-E679DCC7261D}"/>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0" y="461676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0</xdr:rowOff>
    </xdr:from>
    <xdr:to>
      <xdr:col>0</xdr:col>
      <xdr:colOff>219075</xdr:colOff>
      <xdr:row>148</xdr:row>
      <xdr:rowOff>142875</xdr:rowOff>
    </xdr:to>
    <xdr:pic>
      <xdr:nvPicPr>
        <xdr:cNvPr id="149" name="Picture 148">
          <a:extLst>
            <a:ext uri="{FF2B5EF4-FFF2-40B4-BE49-F238E27FC236}">
              <a16:creationId xmlns:a16="http://schemas.microsoft.com/office/drawing/2014/main" id="{6D89500B-51D5-4113-B034-8D062C16A07B}"/>
            </a:ext>
          </a:extLst>
        </xdr:cNvPr>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0" y="46558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0</xdr:rowOff>
    </xdr:from>
    <xdr:to>
      <xdr:col>0</xdr:col>
      <xdr:colOff>219075</xdr:colOff>
      <xdr:row>149</xdr:row>
      <xdr:rowOff>114300</xdr:rowOff>
    </xdr:to>
    <xdr:pic>
      <xdr:nvPicPr>
        <xdr:cNvPr id="150" name="Picture 149">
          <a:extLst>
            <a:ext uri="{FF2B5EF4-FFF2-40B4-BE49-F238E27FC236}">
              <a16:creationId xmlns:a16="http://schemas.microsoft.com/office/drawing/2014/main" id="{810F4E95-1594-4A4E-9503-D837565812F8}"/>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0" y="469487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xdr:row>
      <xdr:rowOff>0</xdr:rowOff>
    </xdr:from>
    <xdr:to>
      <xdr:col>0</xdr:col>
      <xdr:colOff>219075</xdr:colOff>
      <xdr:row>150</xdr:row>
      <xdr:rowOff>114300</xdr:rowOff>
    </xdr:to>
    <xdr:pic>
      <xdr:nvPicPr>
        <xdr:cNvPr id="151" name="Picture 150">
          <a:extLst>
            <a:ext uri="{FF2B5EF4-FFF2-40B4-BE49-F238E27FC236}">
              <a16:creationId xmlns:a16="http://schemas.microsoft.com/office/drawing/2014/main" id="{9B79EDEA-A79B-40AD-828E-1BEA66780C50}"/>
            </a:ext>
          </a:extLst>
        </xdr:cNvPr>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0" y="473392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0</xdr:col>
      <xdr:colOff>219075</xdr:colOff>
      <xdr:row>151</xdr:row>
      <xdr:rowOff>114300</xdr:rowOff>
    </xdr:to>
    <xdr:pic>
      <xdr:nvPicPr>
        <xdr:cNvPr id="152" name="Picture 151">
          <a:extLst>
            <a:ext uri="{FF2B5EF4-FFF2-40B4-BE49-F238E27FC236}">
              <a16:creationId xmlns:a16="http://schemas.microsoft.com/office/drawing/2014/main" id="{21AFFE78-D087-42B1-8B9F-1F31D23D40B2}"/>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0" y="477297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219075</xdr:colOff>
      <xdr:row>152</xdr:row>
      <xdr:rowOff>133350</xdr:rowOff>
    </xdr:to>
    <xdr:pic>
      <xdr:nvPicPr>
        <xdr:cNvPr id="153" name="Picture 152">
          <a:extLst>
            <a:ext uri="{FF2B5EF4-FFF2-40B4-BE49-F238E27FC236}">
              <a16:creationId xmlns:a16="http://schemas.microsoft.com/office/drawing/2014/main" id="{917FCC09-157B-4CA9-81BE-DFE76FC68F5F}"/>
            </a:ext>
          </a:extLst>
        </xdr:cNvPr>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0" y="481203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xdr:row>
      <xdr:rowOff>0</xdr:rowOff>
    </xdr:from>
    <xdr:to>
      <xdr:col>0</xdr:col>
      <xdr:colOff>219075</xdr:colOff>
      <xdr:row>153</xdr:row>
      <xdr:rowOff>133350</xdr:rowOff>
    </xdr:to>
    <xdr:pic>
      <xdr:nvPicPr>
        <xdr:cNvPr id="154" name="Picture 153">
          <a:extLst>
            <a:ext uri="{FF2B5EF4-FFF2-40B4-BE49-F238E27FC236}">
              <a16:creationId xmlns:a16="http://schemas.microsoft.com/office/drawing/2014/main" id="{B82A31BC-AA9F-4A19-8B72-488BE9CC906D}"/>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0" y="48510825"/>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oneCellAnchor>
    <xdr:from>
      <xdr:col>21</xdr:col>
      <xdr:colOff>15515</xdr:colOff>
      <xdr:row>1</xdr:row>
      <xdr:rowOff>114299</xdr:rowOff>
    </xdr:from>
    <xdr:ext cx="4166492" cy="1781175"/>
    <xdr:pic>
      <xdr:nvPicPr>
        <xdr:cNvPr id="2" name="Picture 1">
          <a:extLst>
            <a:ext uri="{FF2B5EF4-FFF2-40B4-BE49-F238E27FC236}">
              <a16:creationId xmlns:a16="http://schemas.microsoft.com/office/drawing/2014/main" id="{F5D4BADF-C328-47DD-9A5A-08A96A17F1FF}"/>
            </a:ext>
          </a:extLst>
        </xdr:cNvPr>
        <xdr:cNvPicPr>
          <a:picLocks noChangeAspect="1"/>
        </xdr:cNvPicPr>
      </xdr:nvPicPr>
      <xdr:blipFill>
        <a:blip xmlns:r="http://schemas.openxmlformats.org/officeDocument/2006/relationships" r:embed="rId1"/>
        <a:stretch>
          <a:fillRect/>
        </a:stretch>
      </xdr:blipFill>
      <xdr:spPr>
        <a:xfrm>
          <a:off x="12197990" y="352424"/>
          <a:ext cx="4166492" cy="1781175"/>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twoCellAnchor>
    <xdr:from>
      <xdr:col>17</xdr:col>
      <xdr:colOff>14287</xdr:colOff>
      <xdr:row>3</xdr:row>
      <xdr:rowOff>185736</xdr:rowOff>
    </xdr:from>
    <xdr:to>
      <xdr:col>25</xdr:col>
      <xdr:colOff>495300</xdr:colOff>
      <xdr:row>20</xdr:row>
      <xdr:rowOff>171449</xdr:rowOff>
    </xdr:to>
    <xdr:graphicFrame macro="">
      <xdr:nvGraphicFramePr>
        <xdr:cNvPr id="3" name="Chart 2">
          <a:extLst>
            <a:ext uri="{FF2B5EF4-FFF2-40B4-BE49-F238E27FC236}">
              <a16:creationId xmlns:a16="http://schemas.microsoft.com/office/drawing/2014/main" id="{C5B2FB1D-6030-454B-8AC0-21B7F1B1F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514350</xdr:colOff>
      <xdr:row>3</xdr:row>
      <xdr:rowOff>185736</xdr:rowOff>
    </xdr:from>
    <xdr:to>
      <xdr:col>34</xdr:col>
      <xdr:colOff>28575</xdr:colOff>
      <xdr:row>21</xdr:row>
      <xdr:rowOff>0</xdr:rowOff>
    </xdr:to>
    <xdr:graphicFrame macro="">
      <xdr:nvGraphicFramePr>
        <xdr:cNvPr id="5" name="Chart 4">
          <a:extLst>
            <a:ext uri="{FF2B5EF4-FFF2-40B4-BE49-F238E27FC236}">
              <a16:creationId xmlns:a16="http://schemas.microsoft.com/office/drawing/2014/main" id="{38BFAC98-3BAA-4CB8-8D2B-29530DEEB1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57150</xdr:colOff>
      <xdr:row>19</xdr:row>
      <xdr:rowOff>9525</xdr:rowOff>
    </xdr:from>
    <xdr:to>
      <xdr:col>14</xdr:col>
      <xdr:colOff>285750</xdr:colOff>
      <xdr:row>22</xdr:row>
      <xdr:rowOff>103003</xdr:rowOff>
    </xdr:to>
    <xdr:pic>
      <xdr:nvPicPr>
        <xdr:cNvPr id="9" name="Picture 8" descr="Everything you need to know about Min-Max normalization: A Python tutorial  | by Serafeim Loukas | Towards Data Science">
          <a:extLst>
            <a:ext uri="{FF2B5EF4-FFF2-40B4-BE49-F238E27FC236}">
              <a16:creationId xmlns:a16="http://schemas.microsoft.com/office/drawing/2014/main" id="{85138B57-B342-493B-A9FE-7D5C71C5CC3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29450" y="3629025"/>
          <a:ext cx="3762375" cy="6649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581025</xdr:colOff>
      <xdr:row>24</xdr:row>
      <xdr:rowOff>166686</xdr:rowOff>
    </xdr:from>
    <xdr:to>
      <xdr:col>27</xdr:col>
      <xdr:colOff>0</xdr:colOff>
      <xdr:row>45</xdr:row>
      <xdr:rowOff>190499</xdr:rowOff>
    </xdr:to>
    <xdr:graphicFrame macro="">
      <xdr:nvGraphicFramePr>
        <xdr:cNvPr id="10" name="Chart 9">
          <a:extLst>
            <a:ext uri="{FF2B5EF4-FFF2-40B4-BE49-F238E27FC236}">
              <a16:creationId xmlns:a16="http://schemas.microsoft.com/office/drawing/2014/main" id="{275B4008-CD47-4D5E-A834-F3ACFEDE2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NFLX.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rves Mohammed" refreshedDate="44669.367683101853" createdVersion="6" refreshedVersion="6" minRefreshableVersion="3" recordCount="9098" xr:uid="{00000000-000A-0000-FFFF-FFFFD0000000}">
  <cacheSource type="worksheet">
    <worksheetSource ref="A1:G9099" sheet="MSFT" r:id="rId2"/>
  </cacheSource>
  <cacheFields count="9">
    <cacheField name="Date" numFmtId="14">
      <sharedItems containsSemiMixedTypes="0" containsNonDate="0" containsDate="1" containsString="0" minDate="1986-03-13T00:00:00" maxDate="2022-04-15T00:00:00" count="9098">
        <d v="1986-03-13T00:00:00"/>
        <d v="1986-03-14T00:00:00"/>
        <d v="1986-03-17T00:00:00"/>
        <d v="1986-03-18T00:00:00"/>
        <d v="1986-03-19T00:00:00"/>
        <d v="1986-03-20T00:00:00"/>
        <d v="1986-03-21T00:00:00"/>
        <d v="1986-03-24T00:00:00"/>
        <d v="1986-03-25T00:00:00"/>
        <d v="1986-03-26T00:00:00"/>
        <d v="1986-03-27T00:00:00"/>
        <d v="1986-03-31T00:00:00"/>
        <d v="1986-04-01T00:00:00"/>
        <d v="1986-04-02T00:00:00"/>
        <d v="1986-04-03T00:00:00"/>
        <d v="1986-04-04T00:00:00"/>
        <d v="1986-04-07T00:00:00"/>
        <d v="1986-04-08T00:00:00"/>
        <d v="1986-04-09T00:00:00"/>
        <d v="1986-04-10T00:00:00"/>
        <d v="1986-04-11T00:00:00"/>
        <d v="1986-04-14T00:00:00"/>
        <d v="1986-04-15T00:00:00"/>
        <d v="1986-04-16T00:00:00"/>
        <d v="1986-04-17T00:00:00"/>
        <d v="1986-04-18T00:00:00"/>
        <d v="1986-04-21T00:00:00"/>
        <d v="1986-04-22T00:00:00"/>
        <d v="1986-04-23T00:00:00"/>
        <d v="1986-04-24T00:00:00"/>
        <d v="1986-04-25T00:00:00"/>
        <d v="1986-04-28T00:00:00"/>
        <d v="1986-04-29T00:00:00"/>
        <d v="1986-04-30T00:00:00"/>
        <d v="1986-05-01T00:00:00"/>
        <d v="1986-05-02T00:00:00"/>
        <d v="1986-05-05T00:00:00"/>
        <d v="1986-05-06T00:00:00"/>
        <d v="1986-05-07T00:00:00"/>
        <d v="1986-05-08T00:00:00"/>
        <d v="1986-05-09T00:00:00"/>
        <d v="1986-05-12T00:00:00"/>
        <d v="1986-05-13T00:00:00"/>
        <d v="1986-05-14T00:00:00"/>
        <d v="1986-05-15T00:00:00"/>
        <d v="1986-05-16T00:00:00"/>
        <d v="1986-05-19T00:00:00"/>
        <d v="1986-05-20T00:00:00"/>
        <d v="1986-05-21T00:00:00"/>
        <d v="1986-05-22T00:00:00"/>
        <d v="1986-05-23T00:00:00"/>
        <d v="1986-05-27T00:00:00"/>
        <d v="1986-05-28T00:00:00"/>
        <d v="1986-05-29T00:00:00"/>
        <d v="1986-05-30T00:00:00"/>
        <d v="1986-06-02T00:00:00"/>
        <d v="1986-06-03T00:00:00"/>
        <d v="1986-06-04T00:00:00"/>
        <d v="1986-06-05T00:00:00"/>
        <d v="1986-06-06T00:00:00"/>
        <d v="1986-06-09T00:00:00"/>
        <d v="1986-06-10T00:00:00"/>
        <d v="1986-06-11T00:00:00"/>
        <d v="1986-06-12T00:00:00"/>
        <d v="1986-06-13T00:00:00"/>
        <d v="1986-06-16T00:00:00"/>
        <d v="1986-06-17T00:00:00"/>
        <d v="1986-06-18T00:00:00"/>
        <d v="1986-06-19T00:00:00"/>
        <d v="1986-06-20T00:00:00"/>
        <d v="1986-06-23T00:00:00"/>
        <d v="1986-06-24T00:00:00"/>
        <d v="1986-06-25T00:00:00"/>
        <d v="1986-06-26T00:00:00"/>
        <d v="1986-06-27T00:00:00"/>
        <d v="1986-06-30T00:00:00"/>
        <d v="1986-07-01T00:00:00"/>
        <d v="1986-07-02T00:00:00"/>
        <d v="1986-07-03T00:00:00"/>
        <d v="1986-07-07T00:00:00"/>
        <d v="1986-07-08T00:00:00"/>
        <d v="1986-07-09T00:00:00"/>
        <d v="1986-07-10T00:00:00"/>
        <d v="1986-07-11T00:00:00"/>
        <d v="1986-07-14T00:00:00"/>
        <d v="1986-07-15T00:00:00"/>
        <d v="1986-07-16T00:00:00"/>
        <d v="1986-07-17T00:00:00"/>
        <d v="1986-07-18T00:00:00"/>
        <d v="1986-07-21T00:00:00"/>
        <d v="1986-07-22T00:00:00"/>
        <d v="1986-07-23T00:00:00"/>
        <d v="1986-07-24T00:00:00"/>
        <d v="1986-07-25T00:00:00"/>
        <d v="1986-07-28T00:00:00"/>
        <d v="1986-07-29T00:00:00"/>
        <d v="1986-07-30T00:00:00"/>
        <d v="1986-07-31T00:00:00"/>
        <d v="1986-08-01T00:00:00"/>
        <d v="1986-08-04T00:00:00"/>
        <d v="1986-08-05T00:00:00"/>
        <d v="1986-08-06T00:00:00"/>
        <d v="1986-08-07T00:00:00"/>
        <d v="1986-08-08T00:00:00"/>
        <d v="1986-08-11T00:00:00"/>
        <d v="1986-08-12T00:00:00"/>
        <d v="1986-08-13T00:00:00"/>
        <d v="1986-08-14T00:00:00"/>
        <d v="1986-08-15T00:00:00"/>
        <d v="1986-08-18T00:00:00"/>
        <d v="1986-08-19T00:00:00"/>
        <d v="1986-08-20T00:00:00"/>
        <d v="1986-08-21T00:00:00"/>
        <d v="1986-08-22T00:00:00"/>
        <d v="1986-08-25T00:00:00"/>
        <d v="1986-08-26T00:00:00"/>
        <d v="1986-08-27T00:00:00"/>
        <d v="1986-08-28T00:00:00"/>
        <d v="1986-08-29T00:00:00"/>
        <d v="1986-09-02T00:00:00"/>
        <d v="1986-09-03T00:00:00"/>
        <d v="1986-09-04T00:00:00"/>
        <d v="1986-09-05T00:00:00"/>
        <d v="1986-09-08T00:00:00"/>
        <d v="1986-09-09T00:00:00"/>
        <d v="1986-09-10T00:00:00"/>
        <d v="1986-09-11T00:00:00"/>
        <d v="1986-09-12T00:00:00"/>
        <d v="1986-09-15T00:00:00"/>
        <d v="1986-09-16T00:00:00"/>
        <d v="1986-09-17T00:00:00"/>
        <d v="1986-09-18T00:00:00"/>
        <d v="1986-09-19T00:00:00"/>
        <d v="1986-09-22T00:00:00"/>
        <d v="1986-09-23T00:00:00"/>
        <d v="1986-09-24T00:00:00"/>
        <d v="1986-09-25T00:00:00"/>
        <d v="1986-09-26T00:00:00"/>
        <d v="1986-09-29T00:00:00"/>
        <d v="1986-09-30T00:00:00"/>
        <d v="1986-10-01T00:00:00"/>
        <d v="1986-10-02T00:00:00"/>
        <d v="1986-10-03T00:00:00"/>
        <d v="1986-10-06T00:00:00"/>
        <d v="1986-10-07T00:00:00"/>
        <d v="1986-10-08T00:00:00"/>
        <d v="1986-10-09T00:00:00"/>
        <d v="1986-10-10T00:00:00"/>
        <d v="1986-10-13T00:00:00"/>
        <d v="1986-10-14T00:00:00"/>
        <d v="1986-10-15T00:00:00"/>
        <d v="1986-10-16T00:00:00"/>
        <d v="1986-10-17T00:00:00"/>
        <d v="1986-10-20T00:00:00"/>
        <d v="1986-10-21T00:00:00"/>
        <d v="1986-10-22T00:00:00"/>
        <d v="1986-10-23T00:00:00"/>
        <d v="1986-10-24T00:00:00"/>
        <d v="1986-10-27T00:00:00"/>
        <d v="1986-10-28T00:00:00"/>
        <d v="1986-10-29T00:00:00"/>
        <d v="1986-10-30T00:00:00"/>
        <d v="1986-10-31T00:00:00"/>
        <d v="1986-11-03T00:00:00"/>
        <d v="1986-11-04T00:00:00"/>
        <d v="1986-11-05T00:00:00"/>
        <d v="1986-11-06T00:00:00"/>
        <d v="1986-11-07T00:00:00"/>
        <d v="1986-11-10T00:00:00"/>
        <d v="1986-11-11T00:00:00"/>
        <d v="1986-11-12T00:00:00"/>
        <d v="1986-11-13T00:00:00"/>
        <d v="1986-11-14T00:00:00"/>
        <d v="1986-11-17T00:00:00"/>
        <d v="1986-11-18T00:00:00"/>
        <d v="1986-11-19T00:00:00"/>
        <d v="1986-11-20T00:00:00"/>
        <d v="1986-11-21T00:00:00"/>
        <d v="1986-11-24T00:00:00"/>
        <d v="1986-11-25T00:00:00"/>
        <d v="1986-11-26T00:00:00"/>
        <d v="1986-11-28T00:00:00"/>
        <d v="1986-12-01T00:00:00"/>
        <d v="1986-12-02T00:00:00"/>
        <d v="1986-12-03T00:00:00"/>
        <d v="1986-12-04T00:00:00"/>
        <d v="1986-12-05T00:00:00"/>
        <d v="1986-12-08T00:00:00"/>
        <d v="1986-12-09T00:00:00"/>
        <d v="1986-12-10T00:00:00"/>
        <d v="1986-12-11T00:00:00"/>
        <d v="1986-12-12T00:00:00"/>
        <d v="1986-12-15T00:00:00"/>
        <d v="1986-12-16T00:00:00"/>
        <d v="1986-12-17T00:00:00"/>
        <d v="1986-12-18T00:00:00"/>
        <d v="1986-12-19T00:00:00"/>
        <d v="1986-12-22T00:00:00"/>
        <d v="1986-12-23T00:00:00"/>
        <d v="1986-12-24T00:00:00"/>
        <d v="1986-12-26T00:00:00"/>
        <d v="1986-12-29T00:00:00"/>
        <d v="1986-12-30T00:00:00"/>
        <d v="1986-12-31T00:00:00"/>
        <d v="1987-01-02T00:00:00"/>
        <d v="1987-01-05T00:00:00"/>
        <d v="1987-01-06T00:00:00"/>
        <d v="1987-01-07T00:00:00"/>
        <d v="1987-01-08T00:00:00"/>
        <d v="1987-01-09T00:00:00"/>
        <d v="1987-01-12T00:00:00"/>
        <d v="1987-01-13T00:00:00"/>
        <d v="1987-01-14T00:00:00"/>
        <d v="1987-01-15T00:00:00"/>
        <d v="1987-01-16T00:00:00"/>
        <d v="1987-01-19T00:00:00"/>
        <d v="1987-01-20T00:00:00"/>
        <d v="1987-01-21T00:00:00"/>
        <d v="1987-01-22T00:00:00"/>
        <d v="1987-01-23T00:00:00"/>
        <d v="1987-01-26T00:00:00"/>
        <d v="1987-01-27T00:00:00"/>
        <d v="1987-01-28T00:00:00"/>
        <d v="1987-01-29T00:00:00"/>
        <d v="1987-01-30T00:00:00"/>
        <d v="1987-02-02T00:00:00"/>
        <d v="1987-02-03T00:00:00"/>
        <d v="1987-02-04T00:00:00"/>
        <d v="1987-02-05T00:00:00"/>
        <d v="1987-02-06T00:00:00"/>
        <d v="1987-02-09T00:00:00"/>
        <d v="1987-02-10T00:00:00"/>
        <d v="1987-02-11T00:00:00"/>
        <d v="1987-02-12T00:00:00"/>
        <d v="1987-02-13T00:00:00"/>
        <d v="1987-02-17T00:00:00"/>
        <d v="1987-02-18T00:00:00"/>
        <d v="1987-02-19T00:00:00"/>
        <d v="1987-02-20T00:00:00"/>
        <d v="1987-02-23T00:00:00"/>
        <d v="1987-02-24T00:00:00"/>
        <d v="1987-02-25T00:00:00"/>
        <d v="1987-02-26T00:00:00"/>
        <d v="1987-02-27T00:00:00"/>
        <d v="1987-03-02T00:00:00"/>
        <d v="1987-03-03T00:00:00"/>
        <d v="1987-03-04T00:00:00"/>
        <d v="1987-03-05T00:00:00"/>
        <d v="1987-03-06T00:00:00"/>
        <d v="1987-03-09T00:00:00"/>
        <d v="1987-03-10T00:00:00"/>
        <d v="1987-03-11T00:00:00"/>
        <d v="1987-03-12T00:00:00"/>
        <d v="1987-03-13T00:00:00"/>
        <d v="1987-03-16T00:00:00"/>
        <d v="1987-03-17T00:00:00"/>
        <d v="1987-03-18T00:00:00"/>
        <d v="1987-03-19T00:00:00"/>
        <d v="1987-03-20T00:00:00"/>
        <d v="1987-03-23T00:00:00"/>
        <d v="1987-03-24T00:00:00"/>
        <d v="1987-03-25T00:00:00"/>
        <d v="1987-03-26T00:00:00"/>
        <d v="1987-03-27T00:00:00"/>
        <d v="1987-03-30T00:00:00"/>
        <d v="1987-03-31T00:00:00"/>
        <d v="1987-04-01T00:00:00"/>
        <d v="1987-04-02T00:00:00"/>
        <d v="1987-04-03T00:00:00"/>
        <d v="1987-04-06T00:00:00"/>
        <d v="1987-04-07T00:00:00"/>
        <d v="1987-04-08T00:00:00"/>
        <d v="1987-04-09T00:00:00"/>
        <d v="1987-04-10T00:00:00"/>
        <d v="1987-04-13T00:00:00"/>
        <d v="1987-04-14T00:00:00"/>
        <d v="1987-04-15T00:00:00"/>
        <d v="1987-04-16T00:00:00"/>
        <d v="1987-04-20T00:00:00"/>
        <d v="1987-04-21T00:00:00"/>
        <d v="1987-04-22T00:00:00"/>
        <d v="1987-04-23T00:00:00"/>
        <d v="1987-04-24T00:00:00"/>
        <d v="1987-04-27T00:00:00"/>
        <d v="1987-04-28T00:00:00"/>
        <d v="1987-04-29T00:00:00"/>
        <d v="1987-04-30T00:00:00"/>
        <d v="1987-05-01T00:00:00"/>
        <d v="1987-05-04T00:00:00"/>
        <d v="1987-05-05T00:00:00"/>
        <d v="1987-05-06T00:00:00"/>
        <d v="1987-05-07T00:00:00"/>
        <d v="1987-05-08T00:00:00"/>
        <d v="1987-05-11T00:00:00"/>
        <d v="1987-05-12T00:00:00"/>
        <d v="1987-05-13T00:00:00"/>
        <d v="1987-05-14T00:00:00"/>
        <d v="1987-05-15T00:00:00"/>
        <d v="1987-05-18T00:00:00"/>
        <d v="1987-05-19T00:00:00"/>
        <d v="1987-05-20T00:00:00"/>
        <d v="1987-05-21T00:00:00"/>
        <d v="1987-05-22T00:00:00"/>
        <d v="1987-05-26T00:00:00"/>
        <d v="1987-05-27T00:00:00"/>
        <d v="1987-05-28T00:00:00"/>
        <d v="1987-05-29T00:00:00"/>
        <d v="1987-06-01T00:00:00"/>
        <d v="1987-06-02T00:00:00"/>
        <d v="1987-06-03T00:00:00"/>
        <d v="1987-06-04T00:00:00"/>
        <d v="1987-06-05T00:00:00"/>
        <d v="1987-06-08T00:00:00"/>
        <d v="1987-06-09T00:00:00"/>
        <d v="1987-06-10T00:00:00"/>
        <d v="1987-06-11T00:00:00"/>
        <d v="1987-06-12T00:00:00"/>
        <d v="1987-06-15T00:00:00"/>
        <d v="1987-06-16T00:00:00"/>
        <d v="1987-06-17T00:00:00"/>
        <d v="1987-06-18T00:00:00"/>
        <d v="1987-06-19T00:00:00"/>
        <d v="1987-06-22T00:00:00"/>
        <d v="1987-06-23T00:00:00"/>
        <d v="1987-06-24T00:00:00"/>
        <d v="1987-06-25T00:00:00"/>
        <d v="1987-06-26T00:00:00"/>
        <d v="1987-06-29T00:00:00"/>
        <d v="1987-06-30T00:00:00"/>
        <d v="1987-07-01T00:00:00"/>
        <d v="1987-07-02T00:00:00"/>
        <d v="1987-07-06T00:00:00"/>
        <d v="1987-07-07T00:00:00"/>
        <d v="1987-07-08T00:00:00"/>
        <d v="1987-07-09T00:00:00"/>
        <d v="1987-07-10T00:00:00"/>
        <d v="1987-07-13T00:00:00"/>
        <d v="1987-07-14T00:00:00"/>
        <d v="1987-07-15T00:00:00"/>
        <d v="1987-07-16T00:00:00"/>
        <d v="1987-07-17T00:00:00"/>
        <d v="1987-07-20T00:00:00"/>
        <d v="1987-07-21T00:00:00"/>
        <d v="1987-07-22T00:00:00"/>
        <d v="1987-07-23T00:00:00"/>
        <d v="1987-07-24T00:00:00"/>
        <d v="1987-07-27T00:00:00"/>
        <d v="1987-07-28T00:00:00"/>
        <d v="1987-07-29T00:00:00"/>
        <d v="1987-07-30T00:00:00"/>
        <d v="1987-07-31T00:00:00"/>
        <d v="1987-08-03T00:00:00"/>
        <d v="1987-08-04T00:00:00"/>
        <d v="1987-08-05T00:00:00"/>
        <d v="1987-08-06T00:00:00"/>
        <d v="1987-08-07T00:00:00"/>
        <d v="1987-08-10T00:00:00"/>
        <d v="1987-08-11T00:00:00"/>
        <d v="1987-08-12T00:00:00"/>
        <d v="1987-08-13T00:00:00"/>
        <d v="1987-08-14T00:00:00"/>
        <d v="1987-08-17T00:00:00"/>
        <d v="1987-08-18T00:00:00"/>
        <d v="1987-08-19T00:00:00"/>
        <d v="1987-08-20T00:00:00"/>
        <d v="1987-08-21T00:00:00"/>
        <d v="1987-08-24T00:00:00"/>
        <d v="1987-08-25T00:00:00"/>
        <d v="1987-08-26T00:00:00"/>
        <d v="1987-08-27T00:00:00"/>
        <d v="1987-08-28T00:00:00"/>
        <d v="1987-08-31T00:00:00"/>
        <d v="1987-09-01T00:00:00"/>
        <d v="1987-09-02T00:00:00"/>
        <d v="1987-09-03T00:00:00"/>
        <d v="1987-09-04T00:00:00"/>
        <d v="1987-09-08T00:00:00"/>
        <d v="1987-09-09T00:00:00"/>
        <d v="1987-09-10T00:00:00"/>
        <d v="1987-09-11T00:00:00"/>
        <d v="1987-09-14T00:00:00"/>
        <d v="1987-09-15T00:00:00"/>
        <d v="1987-09-16T00:00:00"/>
        <d v="1987-09-17T00:00:00"/>
        <d v="1987-09-18T00:00:00"/>
        <d v="1987-09-21T00:00:00"/>
        <d v="1987-09-22T00:00:00"/>
        <d v="1987-09-23T00:00:00"/>
        <d v="1987-09-24T00:00:00"/>
        <d v="1987-09-25T00:00:00"/>
        <d v="1987-09-28T00:00:00"/>
        <d v="1987-09-29T00:00:00"/>
        <d v="1987-09-30T00:00:00"/>
        <d v="1987-10-01T00:00:00"/>
        <d v="1987-10-02T00:00:00"/>
        <d v="1987-10-05T00:00:00"/>
        <d v="1987-10-06T00:00:00"/>
        <d v="1987-10-07T00:00:00"/>
        <d v="1987-10-08T00:00:00"/>
        <d v="1987-10-09T00:00:00"/>
        <d v="1987-10-12T00:00:00"/>
        <d v="1987-10-13T00:00:00"/>
        <d v="1987-10-14T00:00:00"/>
        <d v="1987-10-15T00:00:00"/>
        <d v="1987-10-16T00:00:00"/>
        <d v="1987-10-19T00:00:00"/>
        <d v="1987-10-20T00:00:00"/>
        <d v="1987-10-21T00:00:00"/>
        <d v="1987-10-22T00:00:00"/>
        <d v="1987-10-23T00:00:00"/>
        <d v="1987-10-26T00:00:00"/>
        <d v="1987-10-27T00:00:00"/>
        <d v="1987-10-28T00:00:00"/>
        <d v="1987-10-29T00:00:00"/>
        <d v="1987-10-30T00:00:00"/>
        <d v="1987-11-02T00:00:00"/>
        <d v="1987-11-03T00:00:00"/>
        <d v="1987-11-04T00:00:00"/>
        <d v="1987-11-05T00:00:00"/>
        <d v="1987-11-06T00:00:00"/>
        <d v="1987-11-09T00:00:00"/>
        <d v="1987-11-10T00:00:00"/>
        <d v="1987-11-11T00:00:00"/>
        <d v="1987-11-12T00:00:00"/>
        <d v="1987-11-13T00:00:00"/>
        <d v="1987-11-16T00:00:00"/>
        <d v="1987-11-17T00:00:00"/>
        <d v="1987-11-18T00:00:00"/>
        <d v="1987-11-19T00:00:00"/>
        <d v="1987-11-20T00:00:00"/>
        <d v="1987-11-23T00:00:00"/>
        <d v="1987-11-24T00:00:00"/>
        <d v="1987-11-25T00:00:00"/>
        <d v="1987-11-27T00:00:00"/>
        <d v="1987-11-30T00:00:00"/>
        <d v="1987-12-01T00:00:00"/>
        <d v="1987-12-02T00:00:00"/>
        <d v="1987-12-03T00:00:00"/>
        <d v="1987-12-04T00:00:00"/>
        <d v="1987-12-07T00:00:00"/>
        <d v="1987-12-08T00:00:00"/>
        <d v="1987-12-09T00:00:00"/>
        <d v="1987-12-10T00:00:00"/>
        <d v="1987-12-11T00:00:00"/>
        <d v="1987-12-14T00:00:00"/>
        <d v="1987-12-15T00:00:00"/>
        <d v="1987-12-16T00:00:00"/>
        <d v="1987-12-17T00:00:00"/>
        <d v="1987-12-18T00:00:00"/>
        <d v="1987-12-21T00:00:00"/>
        <d v="1987-12-22T00:00:00"/>
        <d v="1987-12-23T00:00:00"/>
        <d v="1987-12-24T00:00:00"/>
        <d v="1987-12-28T00:00:00"/>
        <d v="1987-12-29T00:00:00"/>
        <d v="1987-12-30T00:00:00"/>
        <d v="1987-12-31T00:00:00"/>
        <d v="1988-01-04T00:00:00"/>
        <d v="1988-01-05T00:00:00"/>
        <d v="1988-01-06T00:00:00"/>
        <d v="1988-01-07T00:00:00"/>
        <d v="1988-01-08T00:00:00"/>
        <d v="1988-01-11T00:00:00"/>
        <d v="1988-01-12T00:00:00"/>
        <d v="1988-01-13T00:00:00"/>
        <d v="1988-01-14T00:00:00"/>
        <d v="1988-01-15T00:00:00"/>
        <d v="1988-01-18T00:00:00"/>
        <d v="1988-01-19T00:00:00"/>
        <d v="1988-01-20T00:00:00"/>
        <d v="1988-01-21T00:00:00"/>
        <d v="1988-01-22T00:00:00"/>
        <d v="1988-01-25T00:00:00"/>
        <d v="1988-01-26T00:00:00"/>
        <d v="1988-01-27T00:00:00"/>
        <d v="1988-01-28T00:00:00"/>
        <d v="1988-01-29T00:00:00"/>
        <d v="1988-02-01T00:00:00"/>
        <d v="1988-02-02T00:00:00"/>
        <d v="1988-02-03T00:00:00"/>
        <d v="1988-02-04T00:00:00"/>
        <d v="1988-02-05T00:00:00"/>
        <d v="1988-02-08T00:00:00"/>
        <d v="1988-02-09T00:00:00"/>
        <d v="1988-02-10T00:00:00"/>
        <d v="1988-02-11T00:00:00"/>
        <d v="1988-02-12T00:00:00"/>
        <d v="1988-02-16T00:00:00"/>
        <d v="1988-02-17T00:00:00"/>
        <d v="1988-02-18T00:00:00"/>
        <d v="1988-02-19T00:00:00"/>
        <d v="1988-02-22T00:00:00"/>
        <d v="1988-02-23T00:00:00"/>
        <d v="1988-02-24T00:00:00"/>
        <d v="1988-02-25T00:00:00"/>
        <d v="1988-02-26T00:00:00"/>
        <d v="1988-02-29T00:00:00"/>
        <d v="1988-03-01T00:00:00"/>
        <d v="1988-03-02T00:00:00"/>
        <d v="1988-03-03T00:00:00"/>
        <d v="1988-03-04T00:00:00"/>
        <d v="1988-03-07T00:00:00"/>
        <d v="1988-03-08T00:00:00"/>
        <d v="1988-03-09T00:00:00"/>
        <d v="1988-03-10T00:00:00"/>
        <d v="1988-03-11T00:00:00"/>
        <d v="1988-03-14T00:00:00"/>
        <d v="1988-03-15T00:00:00"/>
        <d v="1988-03-16T00:00:00"/>
        <d v="1988-03-17T00:00:00"/>
        <d v="1988-03-18T00:00:00"/>
        <d v="1988-03-21T00:00:00"/>
        <d v="1988-03-22T00:00:00"/>
        <d v="1988-03-23T00:00:00"/>
        <d v="1988-03-24T00:00:00"/>
        <d v="1988-03-25T00:00:00"/>
        <d v="1988-03-28T00:00:00"/>
        <d v="1988-03-29T00:00:00"/>
        <d v="1988-03-30T00:00:00"/>
        <d v="1988-03-31T00:00:00"/>
        <d v="1988-04-04T00:00:00"/>
        <d v="1988-04-05T00:00:00"/>
        <d v="1988-04-06T00:00:00"/>
        <d v="1988-04-07T00:00:00"/>
        <d v="1988-04-08T00:00:00"/>
        <d v="1988-04-11T00:00:00"/>
        <d v="1988-04-12T00:00:00"/>
        <d v="1988-04-13T00:00:00"/>
        <d v="1988-04-14T00:00:00"/>
        <d v="1988-04-15T00:00:00"/>
        <d v="1988-04-18T00:00:00"/>
        <d v="1988-04-19T00:00:00"/>
        <d v="1988-04-20T00:00:00"/>
        <d v="1988-04-21T00:00:00"/>
        <d v="1988-04-22T00:00:00"/>
        <d v="1988-04-25T00:00:00"/>
        <d v="1988-04-26T00:00:00"/>
        <d v="1988-04-27T00:00:00"/>
        <d v="1988-04-28T00:00:00"/>
        <d v="1988-04-29T00:00:00"/>
        <d v="1988-05-02T00:00:00"/>
        <d v="1988-05-03T00:00:00"/>
        <d v="1988-05-04T00:00:00"/>
        <d v="1988-05-05T00:00:00"/>
        <d v="1988-05-06T00:00:00"/>
        <d v="1988-05-09T00:00:00"/>
        <d v="1988-05-10T00:00:00"/>
        <d v="1988-05-11T00:00:00"/>
        <d v="1988-05-12T00:00:00"/>
        <d v="1988-05-13T00:00:00"/>
        <d v="1988-05-16T00:00:00"/>
        <d v="1988-05-17T00:00:00"/>
        <d v="1988-05-18T00:00:00"/>
        <d v="1988-05-19T00:00:00"/>
        <d v="1988-05-20T00:00:00"/>
        <d v="1988-05-23T00:00:00"/>
        <d v="1988-05-24T00:00:00"/>
        <d v="1988-05-25T00:00:00"/>
        <d v="1988-05-26T00:00:00"/>
        <d v="1988-05-27T00:00:00"/>
        <d v="1988-05-31T00:00:00"/>
        <d v="1988-06-01T00:00:00"/>
        <d v="1988-06-02T00:00:00"/>
        <d v="1988-06-03T00:00:00"/>
        <d v="1988-06-06T00:00:00"/>
        <d v="1988-06-07T00:00:00"/>
        <d v="1988-06-08T00:00:00"/>
        <d v="1988-06-09T00:00:00"/>
        <d v="1988-06-10T00:00:00"/>
        <d v="1988-06-13T00:00:00"/>
        <d v="1988-06-14T00:00:00"/>
        <d v="1988-06-15T00:00:00"/>
        <d v="1988-06-16T00:00:00"/>
        <d v="1988-06-17T00:00:00"/>
        <d v="1988-06-20T00:00:00"/>
        <d v="1988-06-21T00:00:00"/>
        <d v="1988-06-22T00:00:00"/>
        <d v="1988-06-23T00:00:00"/>
        <d v="1988-06-24T00:00:00"/>
        <d v="1988-06-27T00:00:00"/>
        <d v="1988-06-28T00:00:00"/>
        <d v="1988-06-29T00:00:00"/>
        <d v="1988-06-30T00:00:00"/>
        <d v="1988-07-01T00:00:00"/>
        <d v="1988-07-05T00:00:00"/>
        <d v="1988-07-06T00:00:00"/>
        <d v="1988-07-07T00:00:00"/>
        <d v="1988-07-08T00:00:00"/>
        <d v="1988-07-11T00:00:00"/>
        <d v="1988-07-12T00:00:00"/>
        <d v="1988-07-13T00:00:00"/>
        <d v="1988-07-14T00:00:00"/>
        <d v="1988-07-15T00:00:00"/>
        <d v="1988-07-18T00:00:00"/>
        <d v="1988-07-19T00:00:00"/>
        <d v="1988-07-20T00:00:00"/>
        <d v="1988-07-21T00:00:00"/>
        <d v="1988-07-22T00:00:00"/>
        <d v="1988-07-25T00:00:00"/>
        <d v="1988-07-26T00:00:00"/>
        <d v="1988-07-27T00:00:00"/>
        <d v="1988-07-28T00:00:00"/>
        <d v="1988-07-29T00:00:00"/>
        <d v="1988-08-01T00:00:00"/>
        <d v="1988-08-02T00:00:00"/>
        <d v="1988-08-03T00:00:00"/>
        <d v="1988-08-04T00:00:00"/>
        <d v="1988-08-05T00:00:00"/>
        <d v="1988-08-08T00:00:00"/>
        <d v="1988-08-09T00:00:00"/>
        <d v="1988-08-10T00:00:00"/>
        <d v="1988-08-11T00:00:00"/>
        <d v="1988-08-12T00:00:00"/>
        <d v="1988-08-15T00:00:00"/>
        <d v="1988-08-16T00:00:00"/>
        <d v="1988-08-17T00:00:00"/>
        <d v="1988-08-18T00:00:00"/>
        <d v="1988-08-19T00:00:00"/>
        <d v="1988-08-22T00:00:00"/>
        <d v="1988-08-23T00:00:00"/>
        <d v="1988-08-24T00:00:00"/>
        <d v="1988-08-25T00:00:00"/>
        <d v="1988-08-26T00:00:00"/>
        <d v="1988-08-29T00:00:00"/>
        <d v="1988-08-30T00:00:00"/>
        <d v="1988-08-31T00:00:00"/>
        <d v="1988-09-01T00:00:00"/>
        <d v="1988-09-02T00:00:00"/>
        <d v="1988-09-06T00:00:00"/>
        <d v="1988-09-07T00:00:00"/>
        <d v="1988-09-08T00:00:00"/>
        <d v="1988-09-09T00:00:00"/>
        <d v="1988-09-12T00:00:00"/>
        <d v="1988-09-13T00:00:00"/>
        <d v="1988-09-14T00:00:00"/>
        <d v="1988-09-15T00:00:00"/>
        <d v="1988-09-16T00:00:00"/>
        <d v="1988-09-19T00:00:00"/>
        <d v="1988-09-20T00:00:00"/>
        <d v="1988-09-21T00:00:00"/>
        <d v="1988-09-22T00:00:00"/>
        <d v="1988-09-23T00:00:00"/>
        <d v="1988-09-26T00:00:00"/>
        <d v="1988-09-27T00:00:00"/>
        <d v="1988-09-28T00:00:00"/>
        <d v="1988-09-29T00:00:00"/>
        <d v="1988-09-30T00:00:00"/>
        <d v="1988-10-03T00:00:00"/>
        <d v="1988-10-04T00:00:00"/>
        <d v="1988-10-05T00:00:00"/>
        <d v="1988-10-06T00:00:00"/>
        <d v="1988-10-07T00:00:00"/>
        <d v="1988-10-10T00:00:00"/>
        <d v="1988-10-11T00:00:00"/>
        <d v="1988-10-12T00:00:00"/>
        <d v="1988-10-13T00:00:00"/>
        <d v="1988-10-14T00:00:00"/>
        <d v="1988-10-17T00:00:00"/>
        <d v="1988-10-18T00:00:00"/>
        <d v="1988-10-19T00:00:00"/>
        <d v="1988-10-20T00:00:00"/>
        <d v="1988-10-21T00:00:00"/>
        <d v="1988-10-24T00:00:00"/>
        <d v="1988-10-25T00:00:00"/>
        <d v="1988-10-26T00:00:00"/>
        <d v="1988-10-27T00:00:00"/>
        <d v="1988-10-28T00:00:00"/>
        <d v="1988-10-31T00:00:00"/>
        <d v="1988-11-01T00:00:00"/>
        <d v="1988-11-02T00:00:00"/>
        <d v="1988-11-03T00:00:00"/>
        <d v="1988-11-04T00:00:00"/>
        <d v="1988-11-07T00:00:00"/>
        <d v="1988-11-08T00:00:00"/>
        <d v="1988-11-09T00:00:00"/>
        <d v="1988-11-10T00:00:00"/>
        <d v="1988-11-11T00:00:00"/>
        <d v="1988-11-14T00:00:00"/>
        <d v="1988-11-15T00:00:00"/>
        <d v="1988-11-16T00:00:00"/>
        <d v="1988-11-17T00:00:00"/>
        <d v="1988-11-18T00:00:00"/>
        <d v="1988-11-21T00:00:00"/>
        <d v="1988-11-22T00:00:00"/>
        <d v="1988-11-23T00:00:00"/>
        <d v="1988-11-25T00:00:00"/>
        <d v="1988-11-28T00:00:00"/>
        <d v="1988-11-29T00:00:00"/>
        <d v="1988-11-30T00:00:00"/>
        <d v="1988-12-01T00:00:00"/>
        <d v="1988-12-02T00:00:00"/>
        <d v="1988-12-05T00:00:00"/>
        <d v="1988-12-06T00:00:00"/>
        <d v="1988-12-07T00:00:00"/>
        <d v="1988-12-08T00:00:00"/>
        <d v="1988-12-09T00:00:00"/>
        <d v="1988-12-12T00:00:00"/>
        <d v="1988-12-13T00:00:00"/>
        <d v="1988-12-14T00:00:00"/>
        <d v="1988-12-15T00:00:00"/>
        <d v="1988-12-16T00:00:00"/>
        <d v="1988-12-19T00:00:00"/>
        <d v="1988-12-20T00:00:00"/>
        <d v="1988-12-21T00:00:00"/>
        <d v="1988-12-22T00:00:00"/>
        <d v="1988-12-23T00:00:00"/>
        <d v="1988-12-27T00:00:00"/>
        <d v="1988-12-28T00:00:00"/>
        <d v="1988-12-29T00:00:00"/>
        <d v="1988-12-30T00:00:00"/>
        <d v="1989-01-03T00:00:00"/>
        <d v="1989-01-04T00:00:00"/>
        <d v="1989-01-05T00:00:00"/>
        <d v="1989-01-06T00:00:00"/>
        <d v="1989-01-09T00:00:00"/>
        <d v="1989-01-10T00:00:00"/>
        <d v="1989-01-11T00:00:00"/>
        <d v="1989-01-12T00:00:00"/>
        <d v="1989-01-13T00:00:00"/>
        <d v="1989-01-16T00:00:00"/>
        <d v="1989-01-17T00:00:00"/>
        <d v="1989-01-18T00:00:00"/>
        <d v="1989-01-19T00:00:00"/>
        <d v="1989-01-20T00:00:00"/>
        <d v="1989-01-23T00:00:00"/>
        <d v="1989-01-24T00:00:00"/>
        <d v="1989-01-25T00:00:00"/>
        <d v="1989-01-26T00:00:00"/>
        <d v="1989-01-27T00:00:00"/>
        <d v="1989-01-30T00:00:00"/>
        <d v="1989-01-31T00:00:00"/>
        <d v="1989-02-01T00:00:00"/>
        <d v="1989-02-02T00:00:00"/>
        <d v="1989-02-03T00:00:00"/>
        <d v="1989-02-06T00:00:00"/>
        <d v="1989-02-07T00:00:00"/>
        <d v="1989-02-08T00:00:00"/>
        <d v="1989-02-09T00:00:00"/>
        <d v="1989-02-10T00:00:00"/>
        <d v="1989-02-13T00:00:00"/>
        <d v="1989-02-14T00:00:00"/>
        <d v="1989-02-15T00:00:00"/>
        <d v="1989-02-16T00:00:00"/>
        <d v="1989-02-17T00:00:00"/>
        <d v="1989-02-21T00:00:00"/>
        <d v="1989-02-22T00:00:00"/>
        <d v="1989-02-23T00:00:00"/>
        <d v="1989-02-24T00:00:00"/>
        <d v="1989-02-27T00:00:00"/>
        <d v="1989-02-28T00:00:00"/>
        <d v="1989-03-01T00:00:00"/>
        <d v="1989-03-02T00:00:00"/>
        <d v="1989-03-03T00:00:00"/>
        <d v="1989-03-06T00:00:00"/>
        <d v="1989-03-07T00:00:00"/>
        <d v="1989-03-08T00:00:00"/>
        <d v="1989-03-09T00:00:00"/>
        <d v="1989-03-10T00:00:00"/>
        <d v="1989-03-13T00:00:00"/>
        <d v="1989-03-14T00:00:00"/>
        <d v="1989-03-15T00:00:00"/>
        <d v="1989-03-16T00:00:00"/>
        <d v="1989-03-17T00:00:00"/>
        <d v="1989-03-20T00:00:00"/>
        <d v="1989-03-21T00:00:00"/>
        <d v="1989-03-22T00:00:00"/>
        <d v="1989-03-23T00:00:00"/>
        <d v="1989-03-27T00:00:00"/>
        <d v="1989-03-28T00:00:00"/>
        <d v="1989-03-29T00:00:00"/>
        <d v="1989-03-30T00:00:00"/>
        <d v="1989-03-31T00:00:00"/>
        <d v="1989-04-03T00:00:00"/>
        <d v="1989-04-04T00:00:00"/>
        <d v="1989-04-05T00:00:00"/>
        <d v="1989-04-06T00:00:00"/>
        <d v="1989-04-07T00:00:00"/>
        <d v="1989-04-10T00:00:00"/>
        <d v="1989-04-11T00:00:00"/>
        <d v="1989-04-12T00:00:00"/>
        <d v="1989-04-13T00:00:00"/>
        <d v="1989-04-14T00:00:00"/>
        <d v="1989-04-17T00:00:00"/>
        <d v="1989-04-18T00:00:00"/>
        <d v="1989-04-19T00:00:00"/>
        <d v="1989-04-20T00:00:00"/>
        <d v="1989-04-21T00:00:00"/>
        <d v="1989-04-24T00:00:00"/>
        <d v="1989-04-25T00:00:00"/>
        <d v="1989-04-26T00:00:00"/>
        <d v="1989-04-27T00:00:00"/>
        <d v="1989-04-28T00:00:00"/>
        <d v="1989-05-01T00:00:00"/>
        <d v="1989-05-02T00:00:00"/>
        <d v="1989-05-03T00:00:00"/>
        <d v="1989-05-04T00:00:00"/>
        <d v="1989-05-05T00:00:00"/>
        <d v="1989-05-08T00:00:00"/>
        <d v="1989-05-09T00:00:00"/>
        <d v="1989-05-10T00:00:00"/>
        <d v="1989-05-11T00:00:00"/>
        <d v="1989-05-12T00:00:00"/>
        <d v="1989-05-15T00:00:00"/>
        <d v="1989-05-16T00:00:00"/>
        <d v="1989-05-17T00:00:00"/>
        <d v="1989-05-18T00:00:00"/>
        <d v="1989-05-19T00:00:00"/>
        <d v="1989-05-22T00:00:00"/>
        <d v="1989-05-23T00:00:00"/>
        <d v="1989-05-24T00:00:00"/>
        <d v="1989-05-25T00:00:00"/>
        <d v="1989-05-26T00:00:00"/>
        <d v="1989-05-30T00:00:00"/>
        <d v="1989-05-31T00:00:00"/>
        <d v="1989-06-01T00:00:00"/>
        <d v="1989-06-02T00:00:00"/>
        <d v="1989-06-05T00:00:00"/>
        <d v="1989-06-06T00:00:00"/>
        <d v="1989-06-07T00:00:00"/>
        <d v="1989-06-08T00:00:00"/>
        <d v="1989-06-09T00:00:00"/>
        <d v="1989-06-12T00:00:00"/>
        <d v="1989-06-13T00:00:00"/>
        <d v="1989-06-14T00:00:00"/>
        <d v="1989-06-15T00:00:00"/>
        <d v="1989-06-16T00:00:00"/>
        <d v="1989-06-19T00:00:00"/>
        <d v="1989-06-20T00:00:00"/>
        <d v="1989-06-21T00:00:00"/>
        <d v="1989-06-22T00:00:00"/>
        <d v="1989-06-23T00:00:00"/>
        <d v="1989-06-26T00:00:00"/>
        <d v="1989-06-27T00:00:00"/>
        <d v="1989-06-28T00:00:00"/>
        <d v="1989-06-29T00:00:00"/>
        <d v="1989-06-30T00:00:00"/>
        <d v="1989-07-03T00:00:00"/>
        <d v="1989-07-05T00:00:00"/>
        <d v="1989-07-06T00:00:00"/>
        <d v="1989-07-07T00:00:00"/>
        <d v="1989-07-10T00:00:00"/>
        <d v="1989-07-11T00:00:00"/>
        <d v="1989-07-12T00:00:00"/>
        <d v="1989-07-13T00:00:00"/>
        <d v="1989-07-14T00:00:00"/>
        <d v="1989-07-17T00:00:00"/>
        <d v="1989-07-18T00:00:00"/>
        <d v="1989-07-19T00:00:00"/>
        <d v="1989-07-20T00:00:00"/>
        <d v="1989-07-21T00:00:00"/>
        <d v="1989-07-24T00:00:00"/>
        <d v="1989-07-25T00:00:00"/>
        <d v="1989-07-26T00:00:00"/>
        <d v="1989-07-27T00:00:00"/>
        <d v="1989-07-28T00:00:00"/>
        <d v="1989-07-31T00:00:00"/>
        <d v="1989-08-01T00:00:00"/>
        <d v="1989-08-02T00:00:00"/>
        <d v="1989-08-03T00:00:00"/>
        <d v="1989-08-04T00:00:00"/>
        <d v="1989-08-07T00:00:00"/>
        <d v="1989-08-08T00:00:00"/>
        <d v="1989-08-09T00:00:00"/>
        <d v="1989-08-10T00:00:00"/>
        <d v="1989-08-11T00:00:00"/>
        <d v="1989-08-14T00:00:00"/>
        <d v="1989-08-15T00:00:00"/>
        <d v="1989-08-16T00:00:00"/>
        <d v="1989-08-17T00:00:00"/>
        <d v="1989-08-18T00:00:00"/>
        <d v="1989-08-21T00:00:00"/>
        <d v="1989-08-22T00:00:00"/>
        <d v="1989-08-23T00:00:00"/>
        <d v="1989-08-24T00:00:00"/>
        <d v="1989-08-25T00:00:00"/>
        <d v="1989-08-28T00:00:00"/>
        <d v="1989-08-29T00:00:00"/>
        <d v="1989-08-30T00:00:00"/>
        <d v="1989-08-31T00:00:00"/>
        <d v="1989-09-01T00:00:00"/>
        <d v="1989-09-05T00:00:00"/>
        <d v="1989-09-06T00:00:00"/>
        <d v="1989-09-07T00:00:00"/>
        <d v="1989-09-08T00:00:00"/>
        <d v="1989-09-11T00:00:00"/>
        <d v="1989-09-12T00:00:00"/>
        <d v="1989-09-13T00:00:00"/>
        <d v="1989-09-14T00:00:00"/>
        <d v="1989-09-15T00:00:00"/>
        <d v="1989-09-18T00:00:00"/>
        <d v="1989-09-19T00:00:00"/>
        <d v="1989-09-20T00:00:00"/>
        <d v="1989-09-21T00:00:00"/>
        <d v="1989-09-22T00:00:00"/>
        <d v="1989-09-25T00:00:00"/>
        <d v="1989-09-26T00:00:00"/>
        <d v="1989-09-27T00:00:00"/>
        <d v="1989-09-28T00:00:00"/>
        <d v="1989-09-29T00:00:00"/>
        <d v="1989-10-02T00:00:00"/>
        <d v="1989-10-03T00:00:00"/>
        <d v="1989-10-04T00:00:00"/>
        <d v="1989-10-05T00:00:00"/>
        <d v="1989-10-06T00:00:00"/>
        <d v="1989-10-09T00:00:00"/>
        <d v="1989-10-10T00:00:00"/>
        <d v="1989-10-11T00:00:00"/>
        <d v="1989-10-12T00:00:00"/>
        <d v="1989-10-13T00:00:00"/>
        <d v="1989-10-16T00:00:00"/>
        <d v="1989-10-17T00:00:00"/>
        <d v="1989-10-18T00:00:00"/>
        <d v="1989-10-19T00:00:00"/>
        <d v="1989-10-20T00:00:00"/>
        <d v="1989-10-23T00:00:00"/>
        <d v="1989-10-24T00:00:00"/>
        <d v="1989-10-25T00:00:00"/>
        <d v="1989-10-26T00:00:00"/>
        <d v="1989-10-27T00:00:00"/>
        <d v="1989-10-30T00:00:00"/>
        <d v="1989-10-31T00:00:00"/>
        <d v="1989-11-01T00:00:00"/>
        <d v="1989-11-02T00:00:00"/>
        <d v="1989-11-03T00:00:00"/>
        <d v="1989-11-06T00:00:00"/>
        <d v="1989-11-07T00:00:00"/>
        <d v="1989-11-08T00:00:00"/>
        <d v="1989-11-09T00:00:00"/>
        <d v="1989-11-10T00:00:00"/>
        <d v="1989-11-13T00:00:00"/>
        <d v="1989-11-14T00:00:00"/>
        <d v="1989-11-15T00:00:00"/>
        <d v="1989-11-16T00:00:00"/>
        <d v="1989-11-17T00:00:00"/>
        <d v="1989-11-20T00:00:00"/>
        <d v="1989-11-21T00:00:00"/>
        <d v="1989-11-22T00:00:00"/>
        <d v="1989-11-24T00:00:00"/>
        <d v="1989-11-27T00:00:00"/>
        <d v="1989-11-28T00:00:00"/>
        <d v="1989-11-29T00:00:00"/>
        <d v="1989-11-30T00:00:00"/>
        <d v="1989-12-01T00:00:00"/>
        <d v="1989-12-04T00:00:00"/>
        <d v="1989-12-05T00:00:00"/>
        <d v="1989-12-06T00:00:00"/>
        <d v="1989-12-07T00:00:00"/>
        <d v="1989-12-08T00:00:00"/>
        <d v="1989-12-11T00:00:00"/>
        <d v="1989-12-12T00:00:00"/>
        <d v="1989-12-13T00:00:00"/>
        <d v="1989-12-14T00:00:00"/>
        <d v="1989-12-15T00:00:00"/>
        <d v="1989-12-18T00:00:00"/>
        <d v="1989-12-19T00:00:00"/>
        <d v="1989-12-20T00:00:00"/>
        <d v="1989-12-21T00:00:00"/>
        <d v="1989-12-22T00:00:00"/>
        <d v="1989-12-26T00:00:00"/>
        <d v="1989-12-27T00:00:00"/>
        <d v="1989-12-28T00:00:00"/>
        <d v="1989-12-29T00:00:00"/>
        <d v="1990-01-02T00:00:00"/>
        <d v="1990-01-03T00:00:00"/>
        <d v="1990-01-04T00:00:00"/>
        <d v="1990-01-05T00:00:00"/>
        <d v="1990-01-08T00:00:00"/>
        <d v="1990-01-09T00:00:00"/>
        <d v="1990-01-10T00:00:00"/>
        <d v="1990-01-11T00:00:00"/>
        <d v="1990-01-12T00:00:00"/>
        <d v="1990-01-15T00:00:00"/>
        <d v="1990-01-16T00:00:00"/>
        <d v="1990-01-17T00:00:00"/>
        <d v="1990-01-18T00:00:00"/>
        <d v="1990-01-19T00:00:00"/>
        <d v="1990-01-22T00:00:00"/>
        <d v="1990-01-23T00:00:00"/>
        <d v="1990-01-24T00:00:00"/>
        <d v="1990-01-25T00:00:00"/>
        <d v="1990-01-26T00:00:00"/>
        <d v="1990-01-29T00:00:00"/>
        <d v="1990-01-30T00:00:00"/>
        <d v="1990-01-31T00:00:00"/>
        <d v="1990-02-01T00:00:00"/>
        <d v="1990-02-02T00:00:00"/>
        <d v="1990-02-05T00:00:00"/>
        <d v="1990-02-06T00:00:00"/>
        <d v="1990-02-07T00:00:00"/>
        <d v="1990-02-08T00:00:00"/>
        <d v="1990-02-09T00:00:00"/>
        <d v="1990-02-12T00:00:00"/>
        <d v="1990-02-13T00:00:00"/>
        <d v="1990-02-14T00:00:00"/>
        <d v="1990-02-15T00:00:00"/>
        <d v="1990-02-16T00:00:00"/>
        <d v="1990-02-20T00:00:00"/>
        <d v="1990-02-21T00:00:00"/>
        <d v="1990-02-22T00:00:00"/>
        <d v="1990-02-23T00:00:00"/>
        <d v="1990-02-26T00:00:00"/>
        <d v="1990-02-27T00:00:00"/>
        <d v="1990-02-28T00:00:00"/>
        <d v="1990-03-01T00:00:00"/>
        <d v="1990-03-02T00:00:00"/>
        <d v="1990-03-05T00:00:00"/>
        <d v="1990-03-06T00:00:00"/>
        <d v="1990-03-07T00:00:00"/>
        <d v="1990-03-08T00:00:00"/>
        <d v="1990-03-09T00:00:00"/>
        <d v="1990-03-12T00:00:00"/>
        <d v="1990-03-13T00:00:00"/>
        <d v="1990-03-14T00:00:00"/>
        <d v="1990-03-15T00:00:00"/>
        <d v="1990-03-16T00:00:00"/>
        <d v="1990-03-19T00:00:00"/>
        <d v="1990-03-20T00:00:00"/>
        <d v="1990-03-21T00:00:00"/>
        <d v="1990-03-22T00:00:00"/>
        <d v="1990-03-23T00:00:00"/>
        <d v="1990-03-26T00:00:00"/>
        <d v="1990-03-27T00:00:00"/>
        <d v="1990-03-28T00:00:00"/>
        <d v="1990-03-29T00:00:00"/>
        <d v="1990-03-30T00:00:00"/>
        <d v="1990-04-02T00:00:00"/>
        <d v="1990-04-03T00:00:00"/>
        <d v="1990-04-04T00:00:00"/>
        <d v="1990-04-05T00:00:00"/>
        <d v="1990-04-06T00:00:00"/>
        <d v="1990-04-09T00:00:00"/>
        <d v="1990-04-10T00:00:00"/>
        <d v="1990-04-11T00:00:00"/>
        <d v="1990-04-12T00:00:00"/>
        <d v="1990-04-16T00:00:00"/>
        <d v="1990-04-17T00:00:00"/>
        <d v="1990-04-18T00:00:00"/>
        <d v="1990-04-19T00:00:00"/>
        <d v="1990-04-20T00:00:00"/>
        <d v="1990-04-23T00:00:00"/>
        <d v="1990-04-24T00:00:00"/>
        <d v="1990-04-25T00:00:00"/>
        <d v="1990-04-26T00:00:00"/>
        <d v="1990-04-27T00:00:00"/>
        <d v="1990-04-30T00:00:00"/>
        <d v="1990-05-01T00:00:00"/>
        <d v="1990-05-02T00:00:00"/>
        <d v="1990-05-03T00:00:00"/>
        <d v="1990-05-04T00:00:00"/>
        <d v="1990-05-07T00:00:00"/>
        <d v="1990-05-08T00:00:00"/>
        <d v="1990-05-09T00:00:00"/>
        <d v="1990-05-10T00:00:00"/>
        <d v="1990-05-11T00:00:00"/>
        <d v="1990-05-14T00:00:00"/>
        <d v="1990-05-15T00:00:00"/>
        <d v="1990-05-16T00:00:00"/>
        <d v="1990-05-17T00:00:00"/>
        <d v="1990-05-18T00:00:00"/>
        <d v="1990-05-21T00:00:00"/>
        <d v="1990-05-22T00:00:00"/>
        <d v="1990-05-23T00:00:00"/>
        <d v="1990-05-24T00:00:00"/>
        <d v="1990-05-25T00:00:00"/>
        <d v="1990-05-29T00:00:00"/>
        <d v="1990-05-30T00:00:00"/>
        <d v="1990-05-31T00:00:00"/>
        <d v="1990-06-01T00:00:00"/>
        <d v="1990-06-04T00:00:00"/>
        <d v="1990-06-05T00:00:00"/>
        <d v="1990-06-06T00:00:00"/>
        <d v="1990-06-07T00:00:00"/>
        <d v="1990-06-08T00:00:00"/>
        <d v="1990-06-11T00:00:00"/>
        <d v="1990-06-12T00:00:00"/>
        <d v="1990-06-13T00:00:00"/>
        <d v="1990-06-14T00:00:00"/>
        <d v="1990-06-15T00:00:00"/>
        <d v="1990-06-18T00:00:00"/>
        <d v="1990-06-19T00:00:00"/>
        <d v="1990-06-20T00:00:00"/>
        <d v="1990-06-21T00:00:00"/>
        <d v="1990-06-22T00:00:00"/>
        <d v="1990-06-25T00:00:00"/>
        <d v="1990-06-26T00:00:00"/>
        <d v="1990-06-27T00:00:00"/>
        <d v="1990-06-28T00:00:00"/>
        <d v="1990-06-29T00:00:00"/>
        <d v="1990-07-02T00:00:00"/>
        <d v="1990-07-03T00:00:00"/>
        <d v="1990-07-05T00:00:00"/>
        <d v="1990-07-06T00:00:00"/>
        <d v="1990-07-09T00:00:00"/>
        <d v="1990-07-10T00:00:00"/>
        <d v="1990-07-11T00:00:00"/>
        <d v="1990-07-12T00:00:00"/>
        <d v="1990-07-13T00:00:00"/>
        <d v="1990-07-16T00:00:00"/>
        <d v="1990-07-17T00:00:00"/>
        <d v="1990-07-18T00:00:00"/>
        <d v="1990-07-19T00:00:00"/>
        <d v="1990-07-20T00:00:00"/>
        <d v="1990-07-23T00:00:00"/>
        <d v="1990-07-24T00:00:00"/>
        <d v="1990-07-25T00:00:00"/>
        <d v="1990-07-26T00:00:00"/>
        <d v="1990-07-27T00:00:00"/>
        <d v="1990-07-30T00:00:00"/>
        <d v="1990-07-31T00:00:00"/>
        <d v="1990-08-01T00:00:00"/>
        <d v="1990-08-02T00:00:00"/>
        <d v="1990-08-03T00:00:00"/>
        <d v="1990-08-06T00:00:00"/>
        <d v="1990-08-07T00:00:00"/>
        <d v="1990-08-08T00:00:00"/>
        <d v="1990-08-09T00:00:00"/>
        <d v="1990-08-10T00:00:00"/>
        <d v="1990-08-13T00:00:00"/>
        <d v="1990-08-14T00:00:00"/>
        <d v="1990-08-15T00:00:00"/>
        <d v="1990-08-16T00:00:00"/>
        <d v="1990-08-17T00:00:00"/>
        <d v="1990-08-20T00:00:00"/>
        <d v="1990-08-21T00:00:00"/>
        <d v="1990-08-22T00:00:00"/>
        <d v="1990-08-23T00:00:00"/>
        <d v="1990-08-24T00:00:00"/>
        <d v="1990-08-27T00:00:00"/>
        <d v="1990-08-28T00:00:00"/>
        <d v="1990-08-29T00:00:00"/>
        <d v="1990-08-30T00:00:00"/>
        <d v="1990-08-31T00:00:00"/>
        <d v="1990-09-04T00:00:00"/>
        <d v="1990-09-05T00:00:00"/>
        <d v="1990-09-06T00:00:00"/>
        <d v="1990-09-07T00:00:00"/>
        <d v="1990-09-10T00:00:00"/>
        <d v="1990-09-11T00:00:00"/>
        <d v="1990-09-12T00:00:00"/>
        <d v="1990-09-13T00:00:00"/>
        <d v="1990-09-14T00:00:00"/>
        <d v="1990-09-17T00:00:00"/>
        <d v="1990-09-18T00:00:00"/>
        <d v="1990-09-19T00:00:00"/>
        <d v="1990-09-20T00:00:00"/>
        <d v="1990-09-21T00:00:00"/>
        <d v="1990-09-24T00:00:00"/>
        <d v="1990-09-25T00:00:00"/>
        <d v="1990-09-26T00:00:00"/>
        <d v="1990-09-27T00:00:00"/>
        <d v="1990-09-28T00:00:00"/>
        <d v="1990-10-01T00:00:00"/>
        <d v="1990-10-02T00:00:00"/>
        <d v="1990-10-03T00:00:00"/>
        <d v="1990-10-04T00:00:00"/>
        <d v="1990-10-05T00:00:00"/>
        <d v="1990-10-08T00:00:00"/>
        <d v="1990-10-09T00:00:00"/>
        <d v="1990-10-10T00:00:00"/>
        <d v="1990-10-11T00:00:00"/>
        <d v="1990-10-12T00:00:00"/>
        <d v="1990-10-15T00:00:00"/>
        <d v="1990-10-16T00:00:00"/>
        <d v="1990-10-17T00:00:00"/>
        <d v="1990-10-18T00:00:00"/>
        <d v="1990-10-19T00:00:00"/>
        <d v="1990-10-22T00:00:00"/>
        <d v="1990-10-23T00:00:00"/>
        <d v="1990-10-24T00:00:00"/>
        <d v="1990-10-25T00:00:00"/>
        <d v="1990-10-26T00:00:00"/>
        <d v="1990-10-29T00:00:00"/>
        <d v="1990-10-30T00:00:00"/>
        <d v="1990-10-31T00:00:00"/>
        <d v="1990-11-01T00:00:00"/>
        <d v="1990-11-02T00:00:00"/>
        <d v="1990-11-05T00:00:00"/>
        <d v="1990-11-06T00:00:00"/>
        <d v="1990-11-07T00:00:00"/>
        <d v="1990-11-08T00:00:00"/>
        <d v="1990-11-09T00:00:00"/>
        <d v="1990-11-12T00:00:00"/>
        <d v="1990-11-13T00:00:00"/>
        <d v="1990-11-14T00:00:00"/>
        <d v="1990-11-15T00:00:00"/>
        <d v="1990-11-16T00:00:00"/>
        <d v="1990-11-19T00:00:00"/>
        <d v="1990-11-20T00:00:00"/>
        <d v="1990-11-21T00:00:00"/>
        <d v="1990-11-23T00:00:00"/>
        <d v="1990-11-26T00:00:00"/>
        <d v="1990-11-27T00:00:00"/>
        <d v="1990-11-28T00:00:00"/>
        <d v="1990-11-29T00:00:00"/>
        <d v="1990-11-30T00:00:00"/>
        <d v="1990-12-03T00:00:00"/>
        <d v="1990-12-04T00:00:00"/>
        <d v="1990-12-05T00:00:00"/>
        <d v="1990-12-06T00:00:00"/>
        <d v="1990-12-07T00:00:00"/>
        <d v="1990-12-10T00:00:00"/>
        <d v="1990-12-11T00:00:00"/>
        <d v="1990-12-12T00:00:00"/>
        <d v="1990-12-13T00:00:00"/>
        <d v="1990-12-14T00:00:00"/>
        <d v="1990-12-17T00:00:00"/>
        <d v="1990-12-18T00:00:00"/>
        <d v="1990-12-19T00:00:00"/>
        <d v="1990-12-20T00:00:00"/>
        <d v="1990-12-21T00:00:00"/>
        <d v="1990-12-24T00:00:00"/>
        <d v="1990-12-26T00:00:00"/>
        <d v="1990-12-27T00:00:00"/>
        <d v="1990-12-28T00:00:00"/>
        <d v="1990-12-31T00:00:00"/>
        <d v="1991-01-02T00:00:00"/>
        <d v="1991-01-03T00:00:00"/>
        <d v="1991-01-04T00:00:00"/>
        <d v="1991-01-07T00:00:00"/>
        <d v="1991-01-08T00:00:00"/>
        <d v="1991-01-09T00:00:00"/>
        <d v="1991-01-10T00:00:00"/>
        <d v="1991-01-11T00:00:00"/>
        <d v="1991-01-14T00:00:00"/>
        <d v="1991-01-15T00:00:00"/>
        <d v="1991-01-16T00:00:00"/>
        <d v="1991-01-17T00:00:00"/>
        <d v="1991-01-18T00:00:00"/>
        <d v="1991-01-21T00:00:00"/>
        <d v="1991-01-22T00:00:00"/>
        <d v="1991-01-23T00:00:00"/>
        <d v="1991-01-24T00:00:00"/>
        <d v="1991-01-25T00:00:00"/>
        <d v="1991-01-28T00:00:00"/>
        <d v="1991-01-29T00:00:00"/>
        <d v="1991-01-30T00:00:00"/>
        <d v="1991-01-31T00:00:00"/>
        <d v="1991-02-01T00:00:00"/>
        <d v="1991-02-04T00:00:00"/>
        <d v="1991-02-05T00:00:00"/>
        <d v="1991-02-06T00:00:00"/>
        <d v="1991-02-07T00:00:00"/>
        <d v="1991-02-08T00:00:00"/>
        <d v="1991-02-11T00:00:00"/>
        <d v="1991-02-12T00:00:00"/>
        <d v="1991-02-13T00:00:00"/>
        <d v="1991-02-14T00:00:00"/>
        <d v="1991-02-15T00:00:00"/>
        <d v="1991-02-19T00:00:00"/>
        <d v="1991-02-20T00:00:00"/>
        <d v="1991-02-21T00:00:00"/>
        <d v="1991-02-22T00:00:00"/>
        <d v="1991-02-25T00:00:00"/>
        <d v="1991-02-26T00:00:00"/>
        <d v="1991-02-27T00:00:00"/>
        <d v="1991-02-28T00:00:00"/>
        <d v="1991-03-01T00:00:00"/>
        <d v="1991-03-04T00:00:00"/>
        <d v="1991-03-05T00:00:00"/>
        <d v="1991-03-06T00:00:00"/>
        <d v="1991-03-07T00:00:00"/>
        <d v="1991-03-08T00:00:00"/>
        <d v="1991-03-11T00:00:00"/>
        <d v="1991-03-12T00:00:00"/>
        <d v="1991-03-13T00:00:00"/>
        <d v="1991-03-14T00:00:00"/>
        <d v="1991-03-15T00:00:00"/>
        <d v="1991-03-18T00:00:00"/>
        <d v="1991-03-19T00:00:00"/>
        <d v="1991-03-20T00:00:00"/>
        <d v="1991-03-21T00:00:00"/>
        <d v="1991-03-22T00:00:00"/>
        <d v="1991-03-25T00:00:00"/>
        <d v="1991-03-26T00:00:00"/>
        <d v="1991-03-27T00:00:00"/>
        <d v="1991-03-28T00:00:00"/>
        <d v="1991-04-01T00:00:00"/>
        <d v="1991-04-02T00:00:00"/>
        <d v="1991-04-03T00:00:00"/>
        <d v="1991-04-04T00:00:00"/>
        <d v="1991-04-05T00:00:00"/>
        <d v="1991-04-08T00:00:00"/>
        <d v="1991-04-09T00:00:00"/>
        <d v="1991-04-10T00:00:00"/>
        <d v="1991-04-11T00:00:00"/>
        <d v="1991-04-12T00:00:00"/>
        <d v="1991-04-15T00:00:00"/>
        <d v="1991-04-16T00:00:00"/>
        <d v="1991-04-17T00:00:00"/>
        <d v="1991-04-18T00:00:00"/>
        <d v="1991-04-19T00:00:00"/>
        <d v="1991-04-22T00:00:00"/>
        <d v="1991-04-23T00:00:00"/>
        <d v="1991-04-24T00:00:00"/>
        <d v="1991-04-25T00:00:00"/>
        <d v="1991-04-26T00:00:00"/>
        <d v="1991-04-29T00:00:00"/>
        <d v="1991-04-30T00:00:00"/>
        <d v="1991-05-01T00:00:00"/>
        <d v="1991-05-02T00:00:00"/>
        <d v="1991-05-03T00:00:00"/>
        <d v="1991-05-06T00:00:00"/>
        <d v="1991-05-07T00:00:00"/>
        <d v="1991-05-08T00:00:00"/>
        <d v="1991-05-09T00:00:00"/>
        <d v="1991-05-10T00:00:00"/>
        <d v="1991-05-13T00:00:00"/>
        <d v="1991-05-14T00:00:00"/>
        <d v="1991-05-15T00:00:00"/>
        <d v="1991-05-16T00:00:00"/>
        <d v="1991-05-17T00:00:00"/>
        <d v="1991-05-20T00:00:00"/>
        <d v="1991-05-21T00:00:00"/>
        <d v="1991-05-22T00:00:00"/>
        <d v="1991-05-23T00:00:00"/>
        <d v="1991-05-24T00:00:00"/>
        <d v="1991-05-28T00:00:00"/>
        <d v="1991-05-29T00:00:00"/>
        <d v="1991-05-30T00:00:00"/>
        <d v="1991-05-31T00:00:00"/>
        <d v="1991-06-03T00:00:00"/>
        <d v="1991-06-04T00:00:00"/>
        <d v="1991-06-05T00:00:00"/>
        <d v="1991-06-06T00:00:00"/>
        <d v="1991-06-07T00:00:00"/>
        <d v="1991-06-10T00:00:00"/>
        <d v="1991-06-11T00:00:00"/>
        <d v="1991-06-12T00:00:00"/>
        <d v="1991-06-13T00:00:00"/>
        <d v="1991-06-14T00:00:00"/>
        <d v="1991-06-17T00:00:00"/>
        <d v="1991-06-18T00:00:00"/>
        <d v="1991-06-19T00:00:00"/>
        <d v="1991-06-20T00:00:00"/>
        <d v="1991-06-21T00:00:00"/>
        <d v="1991-06-24T00:00:00"/>
        <d v="1991-06-25T00:00:00"/>
        <d v="1991-06-26T00:00:00"/>
        <d v="1991-06-27T00:00:00"/>
        <d v="1991-06-28T00:00:00"/>
        <d v="1991-07-01T00:00:00"/>
        <d v="1991-07-02T00:00:00"/>
        <d v="1991-07-03T00:00:00"/>
        <d v="1991-07-05T00:00:00"/>
        <d v="1991-07-08T00:00:00"/>
        <d v="1991-07-09T00:00:00"/>
        <d v="1991-07-10T00:00:00"/>
        <d v="1991-07-11T00:00:00"/>
        <d v="1991-07-12T00:00:00"/>
        <d v="1991-07-15T00:00:00"/>
        <d v="1991-07-16T00:00:00"/>
        <d v="1991-07-17T00:00:00"/>
        <d v="1991-07-18T00:00:00"/>
        <d v="1991-07-19T00:00:00"/>
        <d v="1991-07-22T00:00:00"/>
        <d v="1991-07-23T00:00:00"/>
        <d v="1991-07-24T00:00:00"/>
        <d v="1991-07-25T00:00:00"/>
        <d v="1991-07-26T00:00:00"/>
        <d v="1991-07-29T00:00:00"/>
        <d v="1991-07-30T00:00:00"/>
        <d v="1991-07-31T00:00:00"/>
        <d v="1991-08-01T00:00:00"/>
        <d v="1991-08-02T00:00:00"/>
        <d v="1991-08-05T00:00:00"/>
        <d v="1991-08-06T00:00:00"/>
        <d v="1991-08-07T00:00:00"/>
        <d v="1991-08-08T00:00:00"/>
        <d v="1991-08-09T00:00:00"/>
        <d v="1991-08-12T00:00:00"/>
        <d v="1991-08-13T00:00:00"/>
        <d v="1991-08-14T00:00:00"/>
        <d v="1991-08-15T00:00:00"/>
        <d v="1991-08-16T00:00:00"/>
        <d v="1991-08-19T00:00:00"/>
        <d v="1991-08-20T00:00:00"/>
        <d v="1991-08-21T00:00:00"/>
        <d v="1991-08-22T00:00:00"/>
        <d v="1991-08-23T00:00:00"/>
        <d v="1991-08-26T00:00:00"/>
        <d v="1991-08-27T00:00:00"/>
        <d v="1991-08-28T00:00:00"/>
        <d v="1991-08-29T00:00:00"/>
        <d v="1991-08-30T00:00:00"/>
        <d v="1991-09-03T00:00:00"/>
        <d v="1991-09-04T00:00:00"/>
        <d v="1991-09-05T00:00:00"/>
        <d v="1991-09-06T00:00:00"/>
        <d v="1991-09-09T00:00:00"/>
        <d v="1991-09-10T00:00:00"/>
        <d v="1991-09-11T00:00:00"/>
        <d v="1991-09-12T00:00:00"/>
        <d v="1991-09-13T00:00:00"/>
        <d v="1991-09-16T00:00:00"/>
        <d v="1991-09-17T00:00:00"/>
        <d v="1991-09-18T00:00:00"/>
        <d v="1991-09-19T00:00:00"/>
        <d v="1991-09-20T00:00:00"/>
        <d v="1991-09-23T00:00:00"/>
        <d v="1991-09-24T00:00:00"/>
        <d v="1991-09-25T00:00:00"/>
        <d v="1991-09-26T00:00:00"/>
        <d v="1991-09-27T00:00:00"/>
        <d v="1991-09-30T00:00:00"/>
        <d v="1991-10-01T00:00:00"/>
        <d v="1991-10-02T00:00:00"/>
        <d v="1991-10-03T00:00:00"/>
        <d v="1991-10-04T00:00:00"/>
        <d v="1991-10-07T00:00:00"/>
        <d v="1991-10-08T00:00:00"/>
        <d v="1991-10-09T00:00:00"/>
        <d v="1991-10-10T00:00:00"/>
        <d v="1991-10-11T00:00:00"/>
        <d v="1991-10-14T00:00:00"/>
        <d v="1991-10-15T00:00:00"/>
        <d v="1991-10-16T00:00:00"/>
        <d v="1991-10-17T00:00:00"/>
        <d v="1991-10-18T00:00:00"/>
        <d v="1991-10-21T00:00:00"/>
        <d v="1991-10-22T00:00:00"/>
        <d v="1991-10-23T00:00:00"/>
        <d v="1991-10-24T00:00:00"/>
        <d v="1991-10-25T00:00:00"/>
        <d v="1991-10-28T00:00:00"/>
        <d v="1991-10-29T00:00:00"/>
        <d v="1991-10-30T00:00:00"/>
        <d v="1991-10-31T00:00:00"/>
        <d v="1991-11-01T00:00:00"/>
        <d v="1991-11-04T00:00:00"/>
        <d v="1991-11-05T00:00:00"/>
        <d v="1991-11-06T00:00:00"/>
        <d v="1991-11-07T00:00:00"/>
        <d v="1991-11-08T00:00:00"/>
        <d v="1991-11-11T00:00:00"/>
        <d v="1991-11-12T00:00:00"/>
        <d v="1991-11-13T00:00:00"/>
        <d v="1991-11-14T00:00:00"/>
        <d v="1991-11-15T00:00:00"/>
        <d v="1991-11-18T00:00:00"/>
        <d v="1991-11-19T00:00:00"/>
        <d v="1991-11-20T00:00:00"/>
        <d v="1991-11-21T00:00:00"/>
        <d v="1991-11-22T00:00:00"/>
        <d v="1991-11-25T00:00:00"/>
        <d v="1991-11-26T00:00:00"/>
        <d v="1991-11-27T00:00:00"/>
        <d v="1991-11-29T00:00:00"/>
        <d v="1991-12-02T00:00:00"/>
        <d v="1991-12-03T00:00:00"/>
        <d v="1991-12-04T00:00:00"/>
        <d v="1991-12-05T00:00:00"/>
        <d v="1991-12-06T00:00:00"/>
        <d v="1991-12-09T00:00:00"/>
        <d v="1991-12-10T00:00:00"/>
        <d v="1991-12-11T00:00:00"/>
        <d v="1991-12-12T00:00:00"/>
        <d v="1991-12-13T00:00:00"/>
        <d v="1991-12-16T00:00:00"/>
        <d v="1991-12-17T00:00:00"/>
        <d v="1991-12-18T00:00:00"/>
        <d v="1991-12-19T00:00:00"/>
        <d v="1991-12-20T00:00:00"/>
        <d v="1991-12-23T00:00:00"/>
        <d v="1991-12-24T00:00:00"/>
        <d v="1991-12-26T00:00:00"/>
        <d v="1991-12-27T00:00:00"/>
        <d v="1991-12-30T00:00:00"/>
        <d v="1991-12-31T00:00:00"/>
        <d v="1992-01-02T00:00:00"/>
        <d v="1992-01-03T00:00:00"/>
        <d v="1992-01-06T00:00:00"/>
        <d v="1992-01-07T00:00:00"/>
        <d v="1992-01-08T00:00:00"/>
        <d v="1992-01-09T00:00:00"/>
        <d v="1992-01-10T00:00:00"/>
        <d v="1992-01-13T00:00:00"/>
        <d v="1992-01-14T00:00:00"/>
        <d v="1992-01-15T00:00:00"/>
        <d v="1992-01-16T00:00:00"/>
        <d v="1992-01-17T00:00:00"/>
        <d v="1992-01-20T00:00:00"/>
        <d v="1992-01-21T00:00:00"/>
        <d v="1992-01-22T00:00:00"/>
        <d v="1992-01-23T00:00:00"/>
        <d v="1992-01-24T00:00:00"/>
        <d v="1992-01-27T00:00:00"/>
        <d v="1992-01-28T00:00:00"/>
        <d v="1992-01-29T00:00:00"/>
        <d v="1992-01-30T00:00:00"/>
        <d v="1992-01-31T00:00:00"/>
        <d v="1992-02-03T00:00:00"/>
        <d v="1992-02-04T00:00:00"/>
        <d v="1992-02-05T00:00:00"/>
        <d v="1992-02-06T00:00:00"/>
        <d v="1992-02-07T00:00:00"/>
        <d v="1992-02-10T00:00:00"/>
        <d v="1992-02-11T00:00:00"/>
        <d v="1992-02-12T00:00:00"/>
        <d v="1992-02-13T00:00:00"/>
        <d v="1992-02-14T00:00:00"/>
        <d v="1992-02-18T00:00:00"/>
        <d v="1992-02-19T00:00:00"/>
        <d v="1992-02-20T00:00:00"/>
        <d v="1992-02-21T00:00:00"/>
        <d v="1992-02-24T00:00:00"/>
        <d v="1992-02-25T00:00:00"/>
        <d v="1992-02-26T00:00:00"/>
        <d v="1992-02-27T00:00:00"/>
        <d v="1992-02-28T00:00:00"/>
        <d v="1992-03-02T00:00:00"/>
        <d v="1992-03-03T00:00:00"/>
        <d v="1992-03-04T00:00:00"/>
        <d v="1992-03-05T00:00:00"/>
        <d v="1992-03-06T00:00:00"/>
        <d v="1992-03-09T00:00:00"/>
        <d v="1992-03-10T00:00:00"/>
        <d v="1992-03-11T00:00:00"/>
        <d v="1992-03-12T00:00:00"/>
        <d v="1992-03-13T00:00:00"/>
        <d v="1992-03-16T00:00:00"/>
        <d v="1992-03-17T00:00:00"/>
        <d v="1992-03-18T00:00:00"/>
        <d v="1992-03-19T00:00:00"/>
        <d v="1992-03-20T00:00:00"/>
        <d v="1992-03-23T00:00:00"/>
        <d v="1992-03-24T00:00:00"/>
        <d v="1992-03-25T00:00:00"/>
        <d v="1992-03-26T00:00:00"/>
        <d v="1992-03-27T00:00:00"/>
        <d v="1992-03-30T00:00:00"/>
        <d v="1992-03-31T00:00:00"/>
        <d v="1992-04-01T00:00:00"/>
        <d v="1992-04-02T00:00:00"/>
        <d v="1992-04-03T00:00:00"/>
        <d v="1992-04-06T00:00:00"/>
        <d v="1992-04-07T00:00:00"/>
        <d v="1992-04-08T00:00:00"/>
        <d v="1992-04-09T00:00:00"/>
        <d v="1992-04-10T00:00:00"/>
        <d v="1992-04-13T00:00:00"/>
        <d v="1992-04-14T00:00:00"/>
        <d v="1992-04-15T00:00:00"/>
        <d v="1992-04-16T00:00:00"/>
        <d v="1992-04-20T00:00:00"/>
        <d v="1992-04-21T00:00:00"/>
        <d v="1992-04-22T00:00:00"/>
        <d v="1992-04-23T00:00:00"/>
        <d v="1992-04-24T00:00:00"/>
        <d v="1992-04-27T00:00:00"/>
        <d v="1992-04-28T00:00:00"/>
        <d v="1992-04-29T00:00:00"/>
        <d v="1992-04-30T00:00:00"/>
        <d v="1992-05-01T00:00:00"/>
        <d v="1992-05-04T00:00:00"/>
        <d v="1992-05-05T00:00:00"/>
        <d v="1992-05-06T00:00:00"/>
        <d v="1992-05-07T00:00:00"/>
        <d v="1992-05-08T00:00:00"/>
        <d v="1992-05-11T00:00:00"/>
        <d v="1992-05-12T00:00:00"/>
        <d v="1992-05-13T00:00:00"/>
        <d v="1992-05-14T00:00:00"/>
        <d v="1992-05-15T00:00:00"/>
        <d v="1992-05-18T00:00:00"/>
        <d v="1992-05-19T00:00:00"/>
        <d v="1992-05-20T00:00:00"/>
        <d v="1992-05-21T00:00:00"/>
        <d v="1992-05-22T00:00:00"/>
        <d v="1992-05-26T00:00:00"/>
        <d v="1992-05-27T00:00:00"/>
        <d v="1992-05-28T00:00:00"/>
        <d v="1992-05-29T00:00:00"/>
        <d v="1992-06-01T00:00:00"/>
        <d v="1992-06-02T00:00:00"/>
        <d v="1992-06-03T00:00:00"/>
        <d v="1992-06-04T00:00:00"/>
        <d v="1992-06-05T00:00:00"/>
        <d v="1992-06-08T00:00:00"/>
        <d v="1992-06-09T00:00:00"/>
        <d v="1992-06-10T00:00:00"/>
        <d v="1992-06-11T00:00:00"/>
        <d v="1992-06-12T00:00:00"/>
        <d v="1992-06-15T00:00:00"/>
        <d v="1992-06-16T00:00:00"/>
        <d v="1992-06-17T00:00:00"/>
        <d v="1992-06-18T00:00:00"/>
        <d v="1992-06-19T00:00:00"/>
        <d v="1992-06-22T00:00:00"/>
        <d v="1992-06-23T00:00:00"/>
        <d v="1992-06-24T00:00:00"/>
        <d v="1992-06-25T00:00:00"/>
        <d v="1992-06-26T00:00:00"/>
        <d v="1992-06-29T00:00:00"/>
        <d v="1992-06-30T00:00:00"/>
        <d v="1992-07-01T00:00:00"/>
        <d v="1992-07-02T00:00:00"/>
        <d v="1992-07-06T00:00:00"/>
        <d v="1992-07-07T00:00:00"/>
        <d v="1992-07-08T00:00:00"/>
        <d v="1992-07-09T00:00:00"/>
        <d v="1992-07-10T00:00:00"/>
        <d v="1992-07-13T00:00:00"/>
        <d v="1992-07-14T00:00:00"/>
        <d v="1992-07-15T00:00:00"/>
        <d v="1992-07-16T00:00:00"/>
        <d v="1992-07-17T00:00:00"/>
        <d v="1992-07-20T00:00:00"/>
        <d v="1992-07-21T00:00:00"/>
        <d v="1992-07-22T00:00:00"/>
        <d v="1992-07-23T00:00:00"/>
        <d v="1992-07-24T00:00:00"/>
        <d v="1992-07-27T00:00:00"/>
        <d v="1992-07-28T00:00:00"/>
        <d v="1992-07-29T00:00:00"/>
        <d v="1992-07-30T00:00:00"/>
        <d v="1992-07-31T00:00:00"/>
        <d v="1992-08-03T00:00:00"/>
        <d v="1992-08-04T00:00:00"/>
        <d v="1992-08-05T00:00:00"/>
        <d v="1992-08-06T00:00:00"/>
        <d v="1992-08-07T00:00:00"/>
        <d v="1992-08-10T00:00:00"/>
        <d v="1992-08-11T00:00:00"/>
        <d v="1992-08-12T00:00:00"/>
        <d v="1992-08-13T00:00:00"/>
        <d v="1992-08-14T00:00:00"/>
        <d v="1992-08-17T00:00:00"/>
        <d v="1992-08-18T00:00:00"/>
        <d v="1992-08-19T00:00:00"/>
        <d v="1992-08-20T00:00:00"/>
        <d v="1992-08-21T00:00:00"/>
        <d v="1992-08-24T00:00:00"/>
        <d v="1992-08-25T00:00:00"/>
        <d v="1992-08-26T00:00:00"/>
        <d v="1992-08-27T00:00:00"/>
        <d v="1992-08-28T00:00:00"/>
        <d v="1992-08-31T00:00:00"/>
        <d v="1992-09-01T00:00:00"/>
        <d v="1992-09-02T00:00:00"/>
        <d v="1992-09-03T00:00:00"/>
        <d v="1992-09-04T00:00:00"/>
        <d v="1992-09-08T00:00:00"/>
        <d v="1992-09-09T00:00:00"/>
        <d v="1992-09-10T00:00:00"/>
        <d v="1992-09-11T00:00:00"/>
        <d v="1992-09-14T00:00:00"/>
        <d v="1992-09-15T00:00:00"/>
        <d v="1992-09-16T00:00:00"/>
        <d v="1992-09-17T00:00:00"/>
        <d v="1992-09-18T00:00:00"/>
        <d v="1992-09-21T00:00:00"/>
        <d v="1992-09-22T00:00:00"/>
        <d v="1992-09-23T00:00:00"/>
        <d v="1992-09-24T00:00:00"/>
        <d v="1992-09-25T00:00:00"/>
        <d v="1992-09-28T00:00:00"/>
        <d v="1992-09-29T00:00:00"/>
        <d v="1992-09-30T00:00:00"/>
        <d v="1992-10-01T00:00:00"/>
        <d v="1992-10-02T00:00:00"/>
        <d v="1992-10-05T00:00:00"/>
        <d v="1992-10-06T00:00:00"/>
        <d v="1992-10-07T00:00:00"/>
        <d v="1992-10-08T00:00:00"/>
        <d v="1992-10-09T00:00:00"/>
        <d v="1992-10-12T00:00:00"/>
        <d v="1992-10-13T00:00:00"/>
        <d v="1992-10-14T00:00:00"/>
        <d v="1992-10-15T00:00:00"/>
        <d v="1992-10-16T00:00:00"/>
        <d v="1992-10-19T00:00:00"/>
        <d v="1992-10-20T00:00:00"/>
        <d v="1992-10-21T00:00:00"/>
        <d v="1992-10-22T00:00:00"/>
        <d v="1992-10-23T00:00:00"/>
        <d v="1992-10-26T00:00:00"/>
        <d v="1992-10-27T00:00:00"/>
        <d v="1992-10-28T00:00:00"/>
        <d v="1992-10-29T00:00:00"/>
        <d v="1992-10-30T00:00:00"/>
        <d v="1992-11-02T00:00:00"/>
        <d v="1992-11-03T00:00:00"/>
        <d v="1992-11-04T00:00:00"/>
        <d v="1992-11-05T00:00:00"/>
        <d v="1992-11-06T00:00:00"/>
        <d v="1992-11-09T00:00:00"/>
        <d v="1992-11-10T00:00:00"/>
        <d v="1992-11-11T00:00:00"/>
        <d v="1992-11-12T00:00:00"/>
        <d v="1992-11-13T00:00:00"/>
        <d v="1992-11-16T00:00:00"/>
        <d v="1992-11-17T00:00:00"/>
        <d v="1992-11-18T00:00:00"/>
        <d v="1992-11-19T00:00:00"/>
        <d v="1992-11-20T00:00:00"/>
        <d v="1992-11-23T00:00:00"/>
        <d v="1992-11-24T00:00:00"/>
        <d v="1992-11-25T00:00:00"/>
        <d v="1992-11-27T00:00:00"/>
        <d v="1992-11-30T00:00:00"/>
        <d v="1992-12-01T00:00:00"/>
        <d v="1992-12-02T00:00:00"/>
        <d v="1992-12-03T00:00:00"/>
        <d v="1992-12-04T00:00:00"/>
        <d v="1992-12-07T00:00:00"/>
        <d v="1992-12-08T00:00:00"/>
        <d v="1992-12-09T00:00:00"/>
        <d v="1992-12-10T00:00:00"/>
        <d v="1992-12-11T00:00:00"/>
        <d v="1992-12-14T00:00:00"/>
        <d v="1992-12-15T00:00:00"/>
        <d v="1992-12-16T00:00:00"/>
        <d v="1992-12-17T00:00:00"/>
        <d v="1992-12-18T00:00:00"/>
        <d v="1992-12-21T00:00:00"/>
        <d v="1992-12-22T00:00:00"/>
        <d v="1992-12-23T00:00:00"/>
        <d v="1992-12-24T00:00:00"/>
        <d v="1992-12-28T00:00:00"/>
        <d v="1992-12-29T00:00:00"/>
        <d v="1992-12-30T00:00:00"/>
        <d v="1992-12-31T00:00:00"/>
        <d v="1993-01-04T00:00:00"/>
        <d v="1993-01-05T00:00:00"/>
        <d v="1993-01-06T00:00:00"/>
        <d v="1993-01-07T00:00:00"/>
        <d v="1993-01-08T00:00:00"/>
        <d v="1993-01-11T00:00:00"/>
        <d v="1993-01-12T00:00:00"/>
        <d v="1993-01-13T00:00:00"/>
        <d v="1993-01-14T00:00:00"/>
        <d v="1993-01-15T00:00:00"/>
        <d v="1993-01-18T00:00:00"/>
        <d v="1993-01-19T00:00:00"/>
        <d v="1993-01-20T00:00:00"/>
        <d v="1993-01-21T00:00:00"/>
        <d v="1993-01-22T00:00:00"/>
        <d v="1993-01-25T00:00:00"/>
        <d v="1993-01-26T00:00:00"/>
        <d v="1993-01-27T00:00:00"/>
        <d v="1993-01-28T00:00:00"/>
        <d v="1993-01-29T00:00:00"/>
        <d v="1993-02-01T00:00:00"/>
        <d v="1993-02-02T00:00:00"/>
        <d v="1993-02-03T00:00:00"/>
        <d v="1993-02-04T00:00:00"/>
        <d v="1993-02-05T00:00:00"/>
        <d v="1993-02-08T00:00:00"/>
        <d v="1993-02-09T00:00:00"/>
        <d v="1993-02-10T00:00:00"/>
        <d v="1993-02-11T00:00:00"/>
        <d v="1993-02-12T00:00:00"/>
        <d v="1993-02-16T00:00:00"/>
        <d v="1993-02-17T00:00:00"/>
        <d v="1993-02-18T00:00:00"/>
        <d v="1993-02-19T00:00:00"/>
        <d v="1993-02-22T00:00:00"/>
        <d v="1993-02-23T00:00:00"/>
        <d v="1993-02-24T00:00:00"/>
        <d v="1993-02-25T00:00:00"/>
        <d v="1993-02-26T00:00:00"/>
        <d v="1993-03-01T00:00:00"/>
        <d v="1993-03-02T00:00:00"/>
        <d v="1993-03-03T00:00:00"/>
        <d v="1993-03-04T00:00:00"/>
        <d v="1993-03-05T00:00:00"/>
        <d v="1993-03-08T00:00:00"/>
        <d v="1993-03-09T00:00:00"/>
        <d v="1993-03-10T00:00:00"/>
        <d v="1993-03-11T00:00:00"/>
        <d v="1993-03-12T00:00:00"/>
        <d v="1993-03-15T00:00:00"/>
        <d v="1993-03-16T00:00:00"/>
        <d v="1993-03-17T00:00:00"/>
        <d v="1993-03-18T00:00:00"/>
        <d v="1993-03-19T00:00:00"/>
        <d v="1993-03-22T00:00:00"/>
        <d v="1993-03-23T00:00:00"/>
        <d v="1993-03-24T00:00:00"/>
        <d v="1993-03-25T00:00:00"/>
        <d v="1993-03-26T00:00:00"/>
        <d v="1993-03-29T00:00:00"/>
        <d v="1993-03-30T00:00:00"/>
        <d v="1993-03-31T00:00:00"/>
        <d v="1993-04-01T00:00:00"/>
        <d v="1993-04-02T00:00:00"/>
        <d v="1993-04-05T00:00:00"/>
        <d v="1993-04-06T00:00:00"/>
        <d v="1993-04-07T00:00:00"/>
        <d v="1993-04-08T00:00:00"/>
        <d v="1993-04-12T00:00:00"/>
        <d v="1993-04-13T00:00:00"/>
        <d v="1993-04-14T00:00:00"/>
        <d v="1993-04-15T00:00:00"/>
        <d v="1993-04-16T00:00:00"/>
        <d v="1993-04-19T00:00:00"/>
        <d v="1993-04-20T00:00:00"/>
        <d v="1993-04-21T00:00:00"/>
        <d v="1993-04-22T00:00:00"/>
        <d v="1993-04-23T00:00:00"/>
        <d v="1993-04-26T00:00:00"/>
        <d v="1993-04-27T00:00:00"/>
        <d v="1993-04-28T00:00:00"/>
        <d v="1993-04-29T00:00:00"/>
        <d v="1993-04-30T00:00:00"/>
        <d v="1993-05-03T00:00:00"/>
        <d v="1993-05-04T00:00:00"/>
        <d v="1993-05-05T00:00:00"/>
        <d v="1993-05-06T00:00:00"/>
        <d v="1993-05-07T00:00:00"/>
        <d v="1993-05-10T00:00:00"/>
        <d v="1993-05-11T00:00:00"/>
        <d v="1993-05-12T00:00:00"/>
        <d v="1993-05-13T00:00:00"/>
        <d v="1993-05-14T00:00:00"/>
        <d v="1993-05-17T00:00:00"/>
        <d v="1993-05-18T00:00:00"/>
        <d v="1993-05-19T00:00:00"/>
        <d v="1993-05-20T00:00:00"/>
        <d v="1993-05-21T00:00:00"/>
        <d v="1993-05-24T00:00:00"/>
        <d v="1993-05-25T00:00:00"/>
        <d v="1993-05-26T00:00:00"/>
        <d v="1993-05-27T00:00:00"/>
        <d v="1993-05-28T00:00:00"/>
        <d v="1993-06-01T00:00:00"/>
        <d v="1993-06-02T00:00:00"/>
        <d v="1993-06-03T00:00:00"/>
        <d v="1993-06-04T00:00:00"/>
        <d v="1993-06-07T00:00:00"/>
        <d v="1993-06-08T00:00:00"/>
        <d v="1993-06-09T00:00:00"/>
        <d v="1993-06-10T00:00:00"/>
        <d v="1993-06-11T00:00:00"/>
        <d v="1993-06-14T00:00:00"/>
        <d v="1993-06-15T00:00:00"/>
        <d v="1993-06-16T00:00:00"/>
        <d v="1993-06-17T00:00:00"/>
        <d v="1993-06-18T00:00:00"/>
        <d v="1993-06-21T00:00:00"/>
        <d v="1993-06-22T00:00:00"/>
        <d v="1993-06-23T00:00:00"/>
        <d v="1993-06-24T00:00:00"/>
        <d v="1993-06-25T00:00:00"/>
        <d v="1993-06-28T00:00:00"/>
        <d v="1993-06-29T00:00:00"/>
        <d v="1993-06-30T00:00:00"/>
        <d v="1993-07-01T00:00:00"/>
        <d v="1993-07-02T00:00:00"/>
        <d v="1993-07-06T00:00:00"/>
        <d v="1993-07-07T00:00:00"/>
        <d v="1993-07-08T00:00:00"/>
        <d v="1993-07-09T00:00:00"/>
        <d v="1993-07-12T00:00:00"/>
        <d v="1993-07-13T00:00:00"/>
        <d v="1993-07-14T00:00:00"/>
        <d v="1993-07-15T00:00:00"/>
        <d v="1993-07-16T00:00:00"/>
        <d v="1993-07-19T00:00:00"/>
        <d v="1993-07-20T00:00:00"/>
        <d v="1993-07-21T00:00:00"/>
        <d v="1993-07-22T00:00:00"/>
        <d v="1993-07-23T00:00:00"/>
        <d v="1993-07-26T00:00:00"/>
        <d v="1993-07-27T00:00:00"/>
        <d v="1993-07-28T00:00:00"/>
        <d v="1993-07-29T00:00:00"/>
        <d v="1993-07-30T00:00:00"/>
        <d v="1993-08-02T00:00:00"/>
        <d v="1993-08-03T00:00:00"/>
        <d v="1993-08-04T00:00:00"/>
        <d v="1993-08-05T00:00:00"/>
        <d v="1993-08-06T00:00:00"/>
        <d v="1993-08-09T00:00:00"/>
        <d v="1993-08-10T00:00:00"/>
        <d v="1993-08-11T00:00:00"/>
        <d v="1993-08-12T00:00:00"/>
        <d v="1993-08-13T00:00:00"/>
        <d v="1993-08-16T00:00:00"/>
        <d v="1993-08-17T00:00:00"/>
        <d v="1993-08-18T00:00:00"/>
        <d v="1993-08-19T00:00:00"/>
        <d v="1993-08-20T00:00:00"/>
        <d v="1993-08-23T00:00:00"/>
        <d v="1993-08-24T00:00:00"/>
        <d v="1993-08-25T00:00:00"/>
        <d v="1993-08-26T00:00:00"/>
        <d v="1993-08-27T00:00:00"/>
        <d v="1993-08-30T00:00:00"/>
        <d v="1993-08-31T00:00:00"/>
        <d v="1993-09-01T00:00:00"/>
        <d v="1993-09-02T00:00:00"/>
        <d v="1993-09-03T00:00:00"/>
        <d v="1993-09-07T00:00:00"/>
        <d v="1993-09-08T00:00:00"/>
        <d v="1993-09-09T00:00:00"/>
        <d v="1993-09-10T00:00:00"/>
        <d v="1993-09-13T00:00:00"/>
        <d v="1993-09-14T00:00:00"/>
        <d v="1993-09-15T00:00:00"/>
        <d v="1993-09-16T00:00:00"/>
        <d v="1993-09-17T00:00:00"/>
        <d v="1993-09-20T00:00:00"/>
        <d v="1993-09-21T00:00:00"/>
        <d v="1993-09-22T00:00:00"/>
        <d v="1993-09-23T00:00:00"/>
        <d v="1993-09-24T00:00:00"/>
        <d v="1993-09-27T00:00:00"/>
        <d v="1993-09-28T00:00:00"/>
        <d v="1993-09-29T00:00:00"/>
        <d v="1993-09-30T00:00:00"/>
        <d v="1993-10-01T00:00:00"/>
        <d v="1993-10-04T00:00:00"/>
        <d v="1993-10-05T00:00:00"/>
        <d v="1993-10-06T00:00:00"/>
        <d v="1993-10-07T00:00:00"/>
        <d v="1993-10-08T00:00:00"/>
        <d v="1993-10-11T00:00:00"/>
        <d v="1993-10-12T00:00:00"/>
        <d v="1993-10-13T00:00:00"/>
        <d v="1993-10-14T00:00:00"/>
        <d v="1993-10-15T00:00:00"/>
        <d v="1993-10-18T00:00:00"/>
        <d v="1993-10-19T00:00:00"/>
        <d v="1993-10-20T00:00:00"/>
        <d v="1993-10-21T00:00:00"/>
        <d v="1993-10-22T00:00:00"/>
        <d v="1993-10-25T00:00:00"/>
        <d v="1993-10-26T00:00:00"/>
        <d v="1993-10-27T00:00:00"/>
        <d v="1993-10-28T00:00:00"/>
        <d v="1993-10-29T00:00:00"/>
        <d v="1993-11-01T00:00:00"/>
        <d v="1993-11-02T00:00:00"/>
        <d v="1993-11-03T00:00:00"/>
        <d v="1993-11-04T00:00:00"/>
        <d v="1993-11-05T00:00:00"/>
        <d v="1993-11-08T00:00:00"/>
        <d v="1993-11-09T00:00:00"/>
        <d v="1993-11-10T00:00:00"/>
        <d v="1993-11-11T00:00:00"/>
        <d v="1993-11-12T00:00:00"/>
        <d v="1993-11-15T00:00:00"/>
        <d v="1993-11-16T00:00:00"/>
        <d v="1993-11-17T00:00:00"/>
        <d v="1993-11-18T00:00:00"/>
        <d v="1993-11-19T00:00:00"/>
        <d v="1993-11-22T00:00:00"/>
        <d v="1993-11-23T00:00:00"/>
        <d v="1993-11-24T00:00:00"/>
        <d v="1993-11-26T00:00:00"/>
        <d v="1993-11-29T00:00:00"/>
        <d v="1993-11-30T00:00:00"/>
        <d v="1993-12-01T00:00:00"/>
        <d v="1993-12-02T00:00:00"/>
        <d v="1993-12-03T00:00:00"/>
        <d v="1993-12-06T00:00:00"/>
        <d v="1993-12-07T00:00:00"/>
        <d v="1993-12-08T00:00:00"/>
        <d v="1993-12-09T00:00:00"/>
        <d v="1993-12-10T00:00:00"/>
        <d v="1993-12-13T00:00:00"/>
        <d v="1993-12-14T00:00:00"/>
        <d v="1993-12-15T00:00:00"/>
        <d v="1993-12-16T00:00:00"/>
        <d v="1993-12-17T00:00:00"/>
        <d v="1993-12-20T00:00:00"/>
        <d v="1993-12-21T00:00:00"/>
        <d v="1993-12-22T00:00:00"/>
        <d v="1993-12-23T00:00:00"/>
        <d v="1993-12-27T00:00:00"/>
        <d v="1993-12-28T00:00:00"/>
        <d v="1993-12-29T00:00:00"/>
        <d v="1993-12-30T00:00:00"/>
        <d v="1993-12-31T00:00:00"/>
        <d v="1994-01-03T00:00:00"/>
        <d v="1994-01-04T00:00:00"/>
        <d v="1994-01-05T00:00:00"/>
        <d v="1994-01-06T00:00:00"/>
        <d v="1994-01-07T00:00:00"/>
        <d v="1994-01-10T00:00:00"/>
        <d v="1994-01-11T00:00:00"/>
        <d v="1994-01-12T00:00:00"/>
        <d v="1994-01-13T00:00:00"/>
        <d v="1994-01-14T00:00:00"/>
        <d v="1994-01-17T00:00:00"/>
        <d v="1994-01-18T00:00:00"/>
        <d v="1994-01-19T00:00:00"/>
        <d v="1994-01-20T00:00:00"/>
        <d v="1994-01-21T00:00:00"/>
        <d v="1994-01-24T00:00:00"/>
        <d v="1994-01-25T00:00:00"/>
        <d v="1994-01-26T00:00:00"/>
        <d v="1994-01-27T00:00:00"/>
        <d v="1994-01-28T00:00:00"/>
        <d v="1994-01-31T00:00:00"/>
        <d v="1994-02-01T00:00:00"/>
        <d v="1994-02-02T00:00:00"/>
        <d v="1994-02-03T00:00:00"/>
        <d v="1994-02-04T00:00:00"/>
        <d v="1994-02-07T00:00:00"/>
        <d v="1994-02-08T00:00:00"/>
        <d v="1994-02-09T00:00:00"/>
        <d v="1994-02-10T00:00:00"/>
        <d v="1994-02-11T00:00:00"/>
        <d v="1994-02-14T00:00:00"/>
        <d v="1994-02-15T00:00:00"/>
        <d v="1994-02-16T00:00:00"/>
        <d v="1994-02-17T00:00:00"/>
        <d v="1994-02-18T00:00:00"/>
        <d v="1994-02-22T00:00:00"/>
        <d v="1994-02-23T00:00:00"/>
        <d v="1994-02-24T00:00:00"/>
        <d v="1994-02-25T00:00:00"/>
        <d v="1994-02-28T00:00:00"/>
        <d v="1994-03-01T00:00:00"/>
        <d v="1994-03-02T00:00:00"/>
        <d v="1994-03-03T00:00:00"/>
        <d v="1994-03-04T00:00:00"/>
        <d v="1994-03-07T00:00:00"/>
        <d v="1994-03-08T00:00:00"/>
        <d v="1994-03-09T00:00:00"/>
        <d v="1994-03-10T00:00:00"/>
        <d v="1994-03-11T00:00:00"/>
        <d v="1994-03-14T00:00:00"/>
        <d v="1994-03-15T00:00:00"/>
        <d v="1994-03-16T00:00:00"/>
        <d v="1994-03-17T00:00:00"/>
        <d v="1994-03-18T00:00:00"/>
        <d v="1994-03-21T00:00:00"/>
        <d v="1994-03-22T00:00:00"/>
        <d v="1994-03-23T00:00:00"/>
        <d v="1994-03-24T00:00:00"/>
        <d v="1994-03-25T00:00:00"/>
        <d v="1994-03-28T00:00:00"/>
        <d v="1994-03-29T00:00:00"/>
        <d v="1994-03-30T00:00:00"/>
        <d v="1994-03-31T00:00:00"/>
        <d v="1994-04-04T00:00:00"/>
        <d v="1994-04-05T00:00:00"/>
        <d v="1994-04-06T00:00:00"/>
        <d v="1994-04-07T00:00:00"/>
        <d v="1994-04-08T00:00:00"/>
        <d v="1994-04-11T00:00:00"/>
        <d v="1994-04-12T00:00:00"/>
        <d v="1994-04-13T00:00:00"/>
        <d v="1994-04-14T00:00:00"/>
        <d v="1994-04-15T00:00:00"/>
        <d v="1994-04-18T00:00:00"/>
        <d v="1994-04-19T00:00:00"/>
        <d v="1994-04-20T00:00:00"/>
        <d v="1994-04-21T00:00:00"/>
        <d v="1994-04-22T00:00:00"/>
        <d v="1994-04-25T00:00:00"/>
        <d v="1994-04-26T00:00:00"/>
        <d v="1994-04-28T00:00:00"/>
        <d v="1994-04-29T00:00:00"/>
        <d v="1994-05-02T00:00:00"/>
        <d v="1994-05-03T00:00:00"/>
        <d v="1994-05-04T00:00:00"/>
        <d v="1994-05-05T00:00:00"/>
        <d v="1994-05-06T00:00:00"/>
        <d v="1994-05-09T00:00:00"/>
        <d v="1994-05-10T00:00:00"/>
        <d v="1994-05-11T00:00:00"/>
        <d v="1994-05-12T00:00:00"/>
        <d v="1994-05-13T00:00:00"/>
        <d v="1994-05-16T00:00:00"/>
        <d v="1994-05-17T00:00:00"/>
        <d v="1994-05-18T00:00:00"/>
        <d v="1994-05-19T00:00:00"/>
        <d v="1994-05-20T00:00:00"/>
        <d v="1994-05-23T00:00:00"/>
        <d v="1994-05-24T00:00:00"/>
        <d v="1994-05-25T00:00:00"/>
        <d v="1994-05-26T00:00:00"/>
        <d v="1994-05-27T00:00:00"/>
        <d v="1994-05-31T00:00:00"/>
        <d v="1994-06-01T00:00:00"/>
        <d v="1994-06-02T00:00:00"/>
        <d v="1994-06-03T00:00:00"/>
        <d v="1994-06-06T00:00:00"/>
        <d v="1994-06-07T00:00:00"/>
        <d v="1994-06-08T00:00:00"/>
        <d v="1994-06-09T00:00:00"/>
        <d v="1994-06-10T00:00:00"/>
        <d v="1994-06-13T00:00:00"/>
        <d v="1994-06-14T00:00:00"/>
        <d v="1994-06-15T00:00:00"/>
        <d v="1994-06-16T00:00:00"/>
        <d v="1994-06-17T00:00:00"/>
        <d v="1994-06-20T00:00:00"/>
        <d v="1994-06-21T00:00:00"/>
        <d v="1994-06-22T00:00:00"/>
        <d v="1994-06-23T00:00:00"/>
        <d v="1994-06-24T00:00:00"/>
        <d v="1994-06-27T00:00:00"/>
        <d v="1994-06-28T00:00:00"/>
        <d v="1994-06-29T00:00:00"/>
        <d v="1994-06-30T00:00:00"/>
        <d v="1994-07-01T00:00:00"/>
        <d v="1994-07-05T00:00:00"/>
        <d v="1994-07-06T00:00:00"/>
        <d v="1994-07-07T00:00:00"/>
        <d v="1994-07-08T00:00:00"/>
        <d v="1994-07-11T00:00:00"/>
        <d v="1994-07-12T00:00:00"/>
        <d v="1994-07-13T00:00:00"/>
        <d v="1994-07-14T00:00:00"/>
        <d v="1994-07-15T00:00:00"/>
        <d v="1994-07-18T00:00:00"/>
        <d v="1994-07-19T00:00:00"/>
        <d v="1994-07-20T00:00:00"/>
        <d v="1994-07-21T00:00:00"/>
        <d v="1994-07-22T00:00:00"/>
        <d v="1994-07-25T00:00:00"/>
        <d v="1994-07-26T00:00:00"/>
        <d v="1994-07-27T00:00:00"/>
        <d v="1994-07-28T00:00:00"/>
        <d v="1994-07-29T00:00:00"/>
        <d v="1994-08-01T00:00:00"/>
        <d v="1994-08-02T00:00:00"/>
        <d v="1994-08-03T00:00:00"/>
        <d v="1994-08-04T00:00:00"/>
        <d v="1994-08-05T00:00:00"/>
        <d v="1994-08-08T00:00:00"/>
        <d v="1994-08-09T00:00:00"/>
        <d v="1994-08-10T00:00:00"/>
        <d v="1994-08-11T00:00:00"/>
        <d v="1994-08-12T00:00:00"/>
        <d v="1994-08-15T00:00:00"/>
        <d v="1994-08-16T00:00:00"/>
        <d v="1994-08-17T00:00:00"/>
        <d v="1994-08-18T00:00:00"/>
        <d v="1994-08-19T00:00:00"/>
        <d v="1994-08-22T00:00:00"/>
        <d v="1994-08-23T00:00:00"/>
        <d v="1994-08-24T00:00:00"/>
        <d v="1994-08-25T00:00:00"/>
        <d v="1994-08-26T00:00:00"/>
        <d v="1994-08-29T00:00:00"/>
        <d v="1994-08-30T00:00:00"/>
        <d v="1994-08-31T00:00:00"/>
        <d v="1994-09-01T00:00:00"/>
        <d v="1994-09-02T00:00:00"/>
        <d v="1994-09-06T00:00:00"/>
        <d v="1994-09-07T00:00:00"/>
        <d v="1994-09-08T00:00:00"/>
        <d v="1994-09-09T00:00:00"/>
        <d v="1994-09-12T00:00:00"/>
        <d v="1994-09-13T00:00:00"/>
        <d v="1994-09-14T00:00:00"/>
        <d v="1994-09-15T00:00:00"/>
        <d v="1994-09-16T00:00:00"/>
        <d v="1994-09-19T00:00:00"/>
        <d v="1994-09-20T00:00:00"/>
        <d v="1994-09-21T00:00:00"/>
        <d v="1994-09-22T00:00:00"/>
        <d v="1994-09-23T00:00:00"/>
        <d v="1994-09-26T00:00:00"/>
        <d v="1994-09-27T00:00:00"/>
        <d v="1994-09-28T00:00:00"/>
        <d v="1994-09-29T00:00:00"/>
        <d v="1994-09-30T00:00:00"/>
        <d v="1994-10-03T00:00:00"/>
        <d v="1994-10-04T00:00:00"/>
        <d v="1994-10-05T00:00:00"/>
        <d v="1994-10-06T00:00:00"/>
        <d v="1994-10-07T00:00:00"/>
        <d v="1994-10-10T00:00:00"/>
        <d v="1994-10-11T00:00:00"/>
        <d v="1994-10-12T00:00:00"/>
        <d v="1994-10-13T00:00:00"/>
        <d v="1994-10-14T00:00:00"/>
        <d v="1994-10-17T00:00:00"/>
        <d v="1994-10-18T00:00:00"/>
        <d v="1994-10-19T00:00:00"/>
        <d v="1994-10-20T00:00:00"/>
        <d v="1994-10-21T00:00:00"/>
        <d v="1994-10-24T00:00:00"/>
        <d v="1994-10-25T00:00:00"/>
        <d v="1994-10-26T00:00:00"/>
        <d v="1994-10-27T00:00:00"/>
        <d v="1994-10-28T00:00:00"/>
        <d v="1994-10-31T00:00:00"/>
        <d v="1994-11-01T00:00:00"/>
        <d v="1994-11-02T00:00:00"/>
        <d v="1994-11-03T00:00:00"/>
        <d v="1994-11-04T00:00:00"/>
        <d v="1994-11-07T00:00:00"/>
        <d v="1994-11-08T00:00:00"/>
        <d v="1994-11-09T00:00:00"/>
        <d v="1994-11-10T00:00:00"/>
        <d v="1994-11-11T00:00:00"/>
        <d v="1994-11-14T00:00:00"/>
        <d v="1994-11-15T00:00:00"/>
        <d v="1994-11-16T00:00:00"/>
        <d v="1994-11-17T00:00:00"/>
        <d v="1994-11-18T00:00:00"/>
        <d v="1994-11-21T00:00:00"/>
        <d v="1994-11-22T00:00:00"/>
        <d v="1994-11-23T00:00:00"/>
        <d v="1994-11-25T00:00:00"/>
        <d v="1994-11-28T00:00:00"/>
        <d v="1994-11-29T00:00:00"/>
        <d v="1994-11-30T00:00:00"/>
        <d v="1994-12-01T00:00:00"/>
        <d v="1994-12-02T00:00:00"/>
        <d v="1994-12-05T00:00:00"/>
        <d v="1994-12-06T00:00:00"/>
        <d v="1994-12-07T00:00:00"/>
        <d v="1994-12-08T00:00:00"/>
        <d v="1994-12-09T00:00:00"/>
        <d v="1994-12-12T00:00:00"/>
        <d v="1994-12-13T00:00:00"/>
        <d v="1994-12-14T00:00:00"/>
        <d v="1994-12-15T00:00:00"/>
        <d v="1994-12-16T00:00:00"/>
        <d v="1994-12-19T00:00:00"/>
        <d v="1994-12-20T00:00:00"/>
        <d v="1994-12-21T00:00:00"/>
        <d v="1994-12-22T00:00:00"/>
        <d v="1994-12-23T00:00:00"/>
        <d v="1994-12-27T00:00:00"/>
        <d v="1994-12-28T00:00:00"/>
        <d v="1994-12-29T00:00:00"/>
        <d v="1994-12-30T00:00:00"/>
        <d v="1995-01-03T00:00:00"/>
        <d v="1995-01-04T00:00:00"/>
        <d v="1995-01-05T00:00:00"/>
        <d v="1995-01-06T00:00:00"/>
        <d v="1995-01-09T00:00:00"/>
        <d v="1995-01-10T00:00:00"/>
        <d v="1995-01-11T00:00:00"/>
        <d v="1995-01-12T00:00:00"/>
        <d v="1995-01-13T00:00:00"/>
        <d v="1995-01-16T00:00:00"/>
        <d v="1995-01-17T00:00:00"/>
        <d v="1995-01-18T00:00:00"/>
        <d v="1995-01-19T00:00:00"/>
        <d v="1995-01-20T00:00:00"/>
        <d v="1995-01-23T00:00:00"/>
        <d v="1995-01-24T00:00:00"/>
        <d v="1995-01-25T00:00:00"/>
        <d v="1995-01-26T00:00:00"/>
        <d v="1995-01-27T00:00:00"/>
        <d v="1995-01-30T00:00:00"/>
        <d v="1995-01-31T00:00:00"/>
        <d v="1995-02-01T00:00:00"/>
        <d v="1995-02-02T00:00:00"/>
        <d v="1995-02-03T00:00:00"/>
        <d v="1995-02-06T00:00:00"/>
        <d v="1995-02-07T00:00:00"/>
        <d v="1995-02-08T00:00:00"/>
        <d v="1995-02-09T00:00:00"/>
        <d v="1995-02-10T00:00:00"/>
        <d v="1995-02-13T00:00:00"/>
        <d v="1995-02-14T00:00:00"/>
        <d v="1995-02-15T00:00:00"/>
        <d v="1995-02-16T00:00:00"/>
        <d v="1995-02-17T00:00:00"/>
        <d v="1995-02-21T00:00:00"/>
        <d v="1995-02-22T00:00:00"/>
        <d v="1995-02-23T00:00:00"/>
        <d v="1995-02-24T00:00:00"/>
        <d v="1995-02-27T00:00:00"/>
        <d v="1995-02-28T00:00:00"/>
        <d v="1995-03-01T00:00:00"/>
        <d v="1995-03-02T00:00:00"/>
        <d v="1995-03-03T00:00:00"/>
        <d v="1995-03-06T00:00:00"/>
        <d v="1995-03-07T00:00:00"/>
        <d v="1995-03-08T00:00:00"/>
        <d v="1995-03-09T00:00:00"/>
        <d v="1995-03-10T00:00:00"/>
        <d v="1995-03-13T00:00:00"/>
        <d v="1995-03-14T00:00:00"/>
        <d v="1995-03-15T00:00:00"/>
        <d v="1995-03-16T00:00:00"/>
        <d v="1995-03-17T00:00:00"/>
        <d v="1995-03-20T00:00:00"/>
        <d v="1995-03-21T00:00:00"/>
        <d v="1995-03-22T00:00:00"/>
        <d v="1995-03-23T00:00:00"/>
        <d v="1995-03-24T00:00:00"/>
        <d v="1995-03-27T00:00:00"/>
        <d v="1995-03-28T00:00:00"/>
        <d v="1995-03-29T00:00:00"/>
        <d v="1995-03-30T00:00:00"/>
        <d v="1995-03-31T00:00:00"/>
        <d v="1995-04-03T00:00:00"/>
        <d v="1995-04-04T00:00:00"/>
        <d v="1995-04-05T00:00:00"/>
        <d v="1995-04-06T00:00:00"/>
        <d v="1995-04-07T00:00:00"/>
        <d v="1995-04-10T00:00:00"/>
        <d v="1995-04-11T00:00:00"/>
        <d v="1995-04-12T00:00:00"/>
        <d v="1995-04-13T00:00:00"/>
        <d v="1995-04-17T00:00:00"/>
        <d v="1995-04-18T00:00:00"/>
        <d v="1995-04-19T00:00:00"/>
        <d v="1995-04-20T00:00:00"/>
        <d v="1995-04-21T00:00:00"/>
        <d v="1995-04-24T00:00:00"/>
        <d v="1995-04-25T00:00:00"/>
        <d v="1995-04-26T00:00:00"/>
        <d v="1995-04-27T00:00:00"/>
        <d v="1995-04-28T00:00:00"/>
        <d v="1995-05-01T00:00:00"/>
        <d v="1995-05-02T00:00:00"/>
        <d v="1995-05-03T00:00:00"/>
        <d v="1995-05-04T00:00:00"/>
        <d v="1995-05-05T00:00:00"/>
        <d v="1995-05-08T00:00:00"/>
        <d v="1995-05-09T00:00:00"/>
        <d v="1995-05-10T00:00:00"/>
        <d v="1995-05-11T00:00:00"/>
        <d v="1995-05-12T00:00:00"/>
        <d v="1995-05-15T00:00:00"/>
        <d v="1995-05-16T00:00:00"/>
        <d v="1995-05-17T00:00:00"/>
        <d v="1995-05-18T00:00:00"/>
        <d v="1995-05-19T00:00:00"/>
        <d v="1995-05-22T00:00:00"/>
        <d v="1995-05-23T00:00:00"/>
        <d v="1995-05-24T00:00:00"/>
        <d v="1995-05-25T00:00:00"/>
        <d v="1995-05-26T00:00:00"/>
        <d v="1995-05-30T00:00:00"/>
        <d v="1995-05-31T00:00:00"/>
        <d v="1995-06-01T00:00:00"/>
        <d v="1995-06-02T00:00:00"/>
        <d v="1995-06-05T00:00:00"/>
        <d v="1995-06-06T00:00:00"/>
        <d v="1995-06-07T00:00:00"/>
        <d v="1995-06-08T00:00:00"/>
        <d v="1995-06-09T00:00:00"/>
        <d v="1995-06-12T00:00:00"/>
        <d v="1995-06-13T00:00:00"/>
        <d v="1995-06-14T00:00:00"/>
        <d v="1995-06-15T00:00:00"/>
        <d v="1995-06-16T00:00:00"/>
        <d v="1995-06-19T00:00:00"/>
        <d v="1995-06-20T00:00:00"/>
        <d v="1995-06-21T00:00:00"/>
        <d v="1995-06-22T00:00:00"/>
        <d v="1995-06-23T00:00:00"/>
        <d v="1995-06-26T00:00:00"/>
        <d v="1995-06-27T00:00:00"/>
        <d v="1995-06-28T00:00:00"/>
        <d v="1995-06-29T00:00:00"/>
        <d v="1995-06-30T00:00:00"/>
        <d v="1995-07-03T00:00:00"/>
        <d v="1995-07-05T00:00:00"/>
        <d v="1995-07-06T00:00:00"/>
        <d v="1995-07-07T00:00:00"/>
        <d v="1995-07-10T00:00:00"/>
        <d v="1995-07-11T00:00:00"/>
        <d v="1995-07-12T00:00:00"/>
        <d v="1995-07-13T00:00:00"/>
        <d v="1995-07-14T00:00:00"/>
        <d v="1995-07-17T00:00:00"/>
        <d v="1995-07-18T00:00:00"/>
        <d v="1995-07-19T00:00:00"/>
        <d v="1995-07-20T00:00:00"/>
        <d v="1995-07-21T00:00:00"/>
        <d v="1995-07-24T00:00:00"/>
        <d v="1995-07-25T00:00:00"/>
        <d v="1995-07-26T00:00:00"/>
        <d v="1995-07-27T00:00:00"/>
        <d v="1995-07-28T00:00:00"/>
        <d v="1995-07-31T00:00:00"/>
        <d v="1995-08-01T00:00:00"/>
        <d v="1995-08-02T00:00:00"/>
        <d v="1995-08-03T00:00:00"/>
        <d v="1995-08-04T00:00:00"/>
        <d v="1995-08-07T00:00:00"/>
        <d v="1995-08-08T00:00:00"/>
        <d v="1995-08-09T00:00:00"/>
        <d v="1995-08-10T00:00:00"/>
        <d v="1995-08-11T00:00:00"/>
        <d v="1995-08-14T00:00:00"/>
        <d v="1995-08-15T00:00:00"/>
        <d v="1995-08-16T00:00:00"/>
        <d v="1995-08-17T00:00:00"/>
        <d v="1995-08-18T00:00:00"/>
        <d v="1995-08-21T00:00:00"/>
        <d v="1995-08-22T00:00:00"/>
        <d v="1995-08-23T00:00:00"/>
        <d v="1995-08-24T00:00:00"/>
        <d v="1995-08-25T00:00:00"/>
        <d v="1995-08-28T00:00:00"/>
        <d v="1995-08-29T00:00:00"/>
        <d v="1995-08-30T00:00:00"/>
        <d v="1995-08-31T00:00:00"/>
        <d v="1995-09-01T00:00:00"/>
        <d v="1995-09-05T00:00:00"/>
        <d v="1995-09-06T00:00:00"/>
        <d v="1995-09-07T00:00:00"/>
        <d v="1995-09-08T00:00:00"/>
        <d v="1995-09-11T00:00:00"/>
        <d v="1995-09-12T00:00:00"/>
        <d v="1995-09-13T00:00:00"/>
        <d v="1995-09-14T00:00:00"/>
        <d v="1995-09-15T00:00:00"/>
        <d v="1995-09-18T00:00:00"/>
        <d v="1995-09-19T00:00:00"/>
        <d v="1995-09-20T00:00:00"/>
        <d v="1995-09-21T00:00:00"/>
        <d v="1995-09-22T00:00:00"/>
        <d v="1995-09-25T00:00:00"/>
        <d v="1995-09-26T00:00:00"/>
        <d v="1995-09-27T00:00:00"/>
        <d v="1995-09-28T00:00:00"/>
        <d v="1995-09-29T00:00:00"/>
        <d v="1995-10-02T00:00:00"/>
        <d v="1995-10-03T00:00:00"/>
        <d v="1995-10-04T00:00:00"/>
        <d v="1995-10-05T00:00:00"/>
        <d v="1995-10-06T00:00:00"/>
        <d v="1995-10-09T00:00:00"/>
        <d v="1995-10-10T00:00:00"/>
        <d v="1995-10-11T00:00:00"/>
        <d v="1995-10-12T00:00:00"/>
        <d v="1995-10-13T00:00:00"/>
        <d v="1995-10-16T00:00:00"/>
        <d v="1995-10-17T00:00:00"/>
        <d v="1995-10-18T00:00:00"/>
        <d v="1995-10-19T00:00:00"/>
        <d v="1995-10-20T00:00:00"/>
        <d v="1995-10-23T00:00:00"/>
        <d v="1995-10-24T00:00:00"/>
        <d v="1995-10-25T00:00:00"/>
        <d v="1995-10-26T00:00:00"/>
        <d v="1995-10-27T00:00:00"/>
        <d v="1995-10-30T00:00:00"/>
        <d v="1995-10-31T00:00:00"/>
        <d v="1995-11-01T00:00:00"/>
        <d v="1995-11-02T00:00:00"/>
        <d v="1995-11-03T00:00:00"/>
        <d v="1995-11-06T00:00:00"/>
        <d v="1995-11-07T00:00:00"/>
        <d v="1995-11-08T00:00:00"/>
        <d v="1995-11-09T00:00:00"/>
        <d v="1995-11-10T00:00:00"/>
        <d v="1995-11-13T00:00:00"/>
        <d v="1995-11-14T00:00:00"/>
        <d v="1995-11-15T00:00:00"/>
        <d v="1995-11-16T00:00:00"/>
        <d v="1995-11-17T00:00:00"/>
        <d v="1995-11-20T00:00:00"/>
        <d v="1995-11-21T00:00:00"/>
        <d v="1995-11-22T00:00:00"/>
        <d v="1995-11-24T00:00:00"/>
        <d v="1995-11-27T00:00:00"/>
        <d v="1995-11-28T00:00:00"/>
        <d v="1995-11-29T00:00:00"/>
        <d v="1995-11-30T00:00:00"/>
        <d v="1995-12-01T00:00:00"/>
        <d v="1995-12-04T00:00:00"/>
        <d v="1995-12-05T00:00:00"/>
        <d v="1995-12-06T00:00:00"/>
        <d v="1995-12-07T00:00:00"/>
        <d v="1995-12-08T00:00:00"/>
        <d v="1995-12-11T00:00:00"/>
        <d v="1995-12-12T00:00:00"/>
        <d v="1995-12-13T00:00:00"/>
        <d v="1995-12-14T00:00:00"/>
        <d v="1995-12-15T00:00:00"/>
        <d v="1995-12-18T00:00:00"/>
        <d v="1995-12-19T00:00:00"/>
        <d v="1995-12-20T00:00:00"/>
        <d v="1995-12-21T00:00:00"/>
        <d v="1995-12-22T00:00:00"/>
        <d v="1995-12-26T00:00:00"/>
        <d v="1995-12-27T00:00:00"/>
        <d v="1995-12-28T00:00:00"/>
        <d v="1995-12-29T00:00:00"/>
        <d v="1996-01-02T00:00:00"/>
        <d v="1996-01-03T00:00:00"/>
        <d v="1996-01-04T00:00:00"/>
        <d v="1996-01-05T00:00:00"/>
        <d v="1996-01-08T00:00:00"/>
        <d v="1996-01-09T00:00:00"/>
        <d v="1996-01-10T00:00:00"/>
        <d v="1996-01-11T00:00:00"/>
        <d v="1996-01-12T00:00:00"/>
        <d v="1996-01-15T00:00:00"/>
        <d v="1996-01-16T00:00:00"/>
        <d v="1996-01-17T00:00:00"/>
        <d v="1996-01-18T00:00:00"/>
        <d v="1996-01-19T00:00:00"/>
        <d v="1996-01-22T00:00:00"/>
        <d v="1996-01-23T00:00:00"/>
        <d v="1996-01-24T00:00:00"/>
        <d v="1996-01-25T00:00:00"/>
        <d v="1996-01-26T00:00:00"/>
        <d v="1996-01-29T00:00:00"/>
        <d v="1996-01-30T00:00:00"/>
        <d v="1996-01-31T00:00:00"/>
        <d v="1996-02-01T00:00:00"/>
        <d v="1996-02-02T00:00:00"/>
        <d v="1996-02-05T00:00:00"/>
        <d v="1996-02-06T00:00:00"/>
        <d v="1996-02-07T00:00:00"/>
        <d v="1996-02-08T00:00:00"/>
        <d v="1996-02-09T00:00:00"/>
        <d v="1996-02-12T00:00:00"/>
        <d v="1996-02-13T00:00:00"/>
        <d v="1996-02-14T00:00:00"/>
        <d v="1996-02-15T00:00:00"/>
        <d v="1996-02-16T00:00:00"/>
        <d v="1996-02-20T00:00:00"/>
        <d v="1996-02-21T00:00:00"/>
        <d v="1996-02-22T00:00:00"/>
        <d v="1996-02-23T00:00:00"/>
        <d v="1996-02-26T00:00:00"/>
        <d v="1996-02-27T00:00:00"/>
        <d v="1996-02-28T00:00:00"/>
        <d v="1996-02-29T00:00:00"/>
        <d v="1996-03-01T00:00:00"/>
        <d v="1996-03-04T00:00:00"/>
        <d v="1996-03-05T00:00:00"/>
        <d v="1996-03-06T00:00:00"/>
        <d v="1996-03-07T00:00:00"/>
        <d v="1996-03-08T00:00:00"/>
        <d v="1996-03-11T00:00:00"/>
        <d v="1996-03-12T00:00:00"/>
        <d v="1996-03-13T00:00:00"/>
        <d v="1996-03-14T00:00:00"/>
        <d v="1996-03-15T00:00:00"/>
        <d v="1996-03-18T00:00:00"/>
        <d v="1996-03-19T00:00:00"/>
        <d v="1996-03-20T00:00:00"/>
        <d v="1996-03-21T00:00:00"/>
        <d v="1996-03-22T00:00:00"/>
        <d v="1996-03-25T00:00:00"/>
        <d v="1996-03-26T00:00:00"/>
        <d v="1996-03-27T00:00:00"/>
        <d v="1996-03-28T00:00:00"/>
        <d v="1996-03-29T00:00:00"/>
        <d v="1996-04-01T00:00:00"/>
        <d v="1996-04-02T00:00:00"/>
        <d v="1996-04-03T00:00:00"/>
        <d v="1996-04-04T00:00:00"/>
        <d v="1996-04-08T00:00:00"/>
        <d v="1996-04-09T00:00:00"/>
        <d v="1996-04-10T00:00:00"/>
        <d v="1996-04-11T00:00:00"/>
        <d v="1996-04-12T00:00:00"/>
        <d v="1996-04-15T00:00:00"/>
        <d v="1996-04-16T00:00:00"/>
        <d v="1996-04-17T00:00:00"/>
        <d v="1996-04-18T00:00:00"/>
        <d v="1996-04-19T00:00:00"/>
        <d v="1996-04-22T00:00:00"/>
        <d v="1996-04-23T00:00:00"/>
        <d v="1996-04-24T00:00:00"/>
        <d v="1996-04-25T00:00:00"/>
        <d v="1996-04-26T00:00:00"/>
        <d v="1996-04-29T00:00:00"/>
        <d v="1996-04-30T00:00:00"/>
        <d v="1996-05-01T00:00:00"/>
        <d v="1996-05-02T00:00:00"/>
        <d v="1996-05-03T00:00:00"/>
        <d v="1996-05-06T00:00:00"/>
        <d v="1996-05-07T00:00:00"/>
        <d v="1996-05-08T00:00:00"/>
        <d v="1996-05-09T00:00:00"/>
        <d v="1996-05-10T00:00:00"/>
        <d v="1996-05-13T00:00:00"/>
        <d v="1996-05-14T00:00:00"/>
        <d v="1996-05-15T00:00:00"/>
        <d v="1996-05-16T00:00:00"/>
        <d v="1996-05-17T00:00:00"/>
        <d v="1996-05-20T00:00:00"/>
        <d v="1996-05-21T00:00:00"/>
        <d v="1996-05-22T00:00:00"/>
        <d v="1996-05-23T00:00:00"/>
        <d v="1996-05-24T00:00:00"/>
        <d v="1996-05-28T00:00:00"/>
        <d v="1996-05-29T00:00:00"/>
        <d v="1996-05-30T00:00:00"/>
        <d v="1996-05-31T00:00:00"/>
        <d v="1996-06-03T00:00:00"/>
        <d v="1996-06-04T00:00:00"/>
        <d v="1996-06-05T00:00:00"/>
        <d v="1996-06-06T00:00:00"/>
        <d v="1996-06-07T00:00:00"/>
        <d v="1996-06-10T00:00:00"/>
        <d v="1996-06-11T00:00:00"/>
        <d v="1996-06-12T00:00:00"/>
        <d v="1996-06-13T00:00:00"/>
        <d v="1996-06-14T00:00:00"/>
        <d v="1996-06-17T00:00:00"/>
        <d v="1996-06-18T00:00:00"/>
        <d v="1996-06-19T00:00:00"/>
        <d v="1996-06-20T00:00:00"/>
        <d v="1996-06-21T00:00:00"/>
        <d v="1996-06-24T00:00:00"/>
        <d v="1996-06-25T00:00:00"/>
        <d v="1996-06-26T00:00:00"/>
        <d v="1996-06-27T00:00:00"/>
        <d v="1996-06-28T00:00:00"/>
        <d v="1996-07-01T00:00:00"/>
        <d v="1996-07-02T00:00:00"/>
        <d v="1996-07-03T00:00:00"/>
        <d v="1996-07-05T00:00:00"/>
        <d v="1996-07-08T00:00:00"/>
        <d v="1996-07-09T00:00:00"/>
        <d v="1996-07-10T00:00:00"/>
        <d v="1996-07-11T00:00:00"/>
        <d v="1996-07-12T00:00:00"/>
        <d v="1996-07-15T00:00:00"/>
        <d v="1996-07-16T00:00:00"/>
        <d v="1996-07-17T00:00:00"/>
        <d v="1996-07-18T00:00:00"/>
        <d v="1996-07-19T00:00:00"/>
        <d v="1996-07-22T00:00:00"/>
        <d v="1996-07-23T00:00:00"/>
        <d v="1996-07-24T00:00:00"/>
        <d v="1996-07-25T00:00:00"/>
        <d v="1996-07-26T00:00:00"/>
        <d v="1996-07-29T00:00:00"/>
        <d v="1996-07-30T00:00:00"/>
        <d v="1996-07-31T00:00:00"/>
        <d v="1996-08-01T00:00:00"/>
        <d v="1996-08-02T00:00:00"/>
        <d v="1996-08-05T00:00:00"/>
        <d v="1996-08-06T00:00:00"/>
        <d v="1996-08-07T00:00:00"/>
        <d v="1996-08-08T00:00:00"/>
        <d v="1996-08-09T00:00:00"/>
        <d v="1996-08-12T00:00:00"/>
        <d v="1996-08-13T00:00:00"/>
        <d v="1996-08-14T00:00:00"/>
        <d v="1996-08-15T00:00:00"/>
        <d v="1996-08-16T00:00:00"/>
        <d v="1996-08-19T00:00:00"/>
        <d v="1996-08-20T00:00:00"/>
        <d v="1996-08-21T00:00:00"/>
        <d v="1996-08-22T00:00:00"/>
        <d v="1996-08-23T00:00:00"/>
        <d v="1996-08-26T00:00:00"/>
        <d v="1996-08-27T00:00:00"/>
        <d v="1996-08-28T00:00:00"/>
        <d v="1996-08-29T00:00:00"/>
        <d v="1996-08-30T00:00:00"/>
        <d v="1996-09-03T00:00:00"/>
        <d v="1996-09-04T00:00:00"/>
        <d v="1996-09-05T00:00:00"/>
        <d v="1996-09-06T00:00:00"/>
        <d v="1996-09-09T00:00:00"/>
        <d v="1996-09-10T00:00:00"/>
        <d v="1996-09-11T00:00:00"/>
        <d v="1996-09-12T00:00:00"/>
        <d v="1996-09-13T00:00:00"/>
        <d v="1996-09-16T00:00:00"/>
        <d v="1996-09-17T00:00:00"/>
        <d v="1996-09-18T00:00:00"/>
        <d v="1996-09-19T00:00:00"/>
        <d v="1996-09-20T00:00:00"/>
        <d v="1996-09-23T00:00:00"/>
        <d v="1996-09-24T00:00:00"/>
        <d v="1996-09-25T00:00:00"/>
        <d v="1996-09-26T00:00:00"/>
        <d v="1996-09-27T00:00:00"/>
        <d v="1996-09-30T00:00:00"/>
        <d v="1996-10-01T00:00:00"/>
        <d v="1996-10-02T00:00:00"/>
        <d v="1996-10-03T00:00:00"/>
        <d v="1996-10-04T00:00:00"/>
        <d v="1996-10-07T00:00:00"/>
        <d v="1996-10-08T00:00:00"/>
        <d v="1996-10-09T00:00:00"/>
        <d v="1996-10-10T00:00:00"/>
        <d v="1996-10-11T00:00:00"/>
        <d v="1996-10-14T00:00:00"/>
        <d v="1996-10-15T00:00:00"/>
        <d v="1996-10-16T00:00:00"/>
        <d v="1996-10-17T00:00:00"/>
        <d v="1996-10-18T00:00:00"/>
        <d v="1996-10-21T00:00:00"/>
        <d v="1996-10-22T00:00:00"/>
        <d v="1996-10-23T00:00:00"/>
        <d v="1996-10-24T00:00:00"/>
        <d v="1996-10-25T00:00:00"/>
        <d v="1996-10-28T00:00:00"/>
        <d v="1996-10-29T00:00:00"/>
        <d v="1996-10-30T00:00:00"/>
        <d v="1996-10-31T00:00:00"/>
        <d v="1996-11-01T00:00:00"/>
        <d v="1996-11-04T00:00:00"/>
        <d v="1996-11-05T00:00:00"/>
        <d v="1996-11-06T00:00:00"/>
        <d v="1996-11-07T00:00:00"/>
        <d v="1996-11-08T00:00:00"/>
        <d v="1996-11-11T00:00:00"/>
        <d v="1996-11-12T00:00:00"/>
        <d v="1996-11-13T00:00:00"/>
        <d v="1996-11-14T00:00:00"/>
        <d v="1996-11-15T00:00:00"/>
        <d v="1996-11-18T00:00:00"/>
        <d v="1996-11-19T00:00:00"/>
        <d v="1996-11-20T00:00:00"/>
        <d v="1996-11-21T00:00:00"/>
        <d v="1996-11-22T00:00:00"/>
        <d v="1996-11-25T00:00:00"/>
        <d v="1996-11-26T00:00:00"/>
        <d v="1996-11-27T00:00:00"/>
        <d v="1996-11-29T00:00:00"/>
        <d v="1996-12-02T00:00:00"/>
        <d v="1996-12-03T00:00:00"/>
        <d v="1996-12-04T00:00:00"/>
        <d v="1996-12-05T00:00:00"/>
        <d v="1996-12-06T00:00:00"/>
        <d v="1996-12-09T00:00:00"/>
        <d v="1996-12-10T00:00:00"/>
        <d v="1996-12-11T00:00:00"/>
        <d v="1996-12-12T00:00:00"/>
        <d v="1996-12-13T00:00:00"/>
        <d v="1996-12-16T00:00:00"/>
        <d v="1996-12-17T00:00:00"/>
        <d v="1996-12-18T00:00:00"/>
        <d v="1996-12-19T00:00:00"/>
        <d v="1996-12-20T00:00:00"/>
        <d v="1996-12-23T00:00:00"/>
        <d v="1996-12-24T00:00:00"/>
        <d v="1996-12-26T00:00:00"/>
        <d v="1996-12-27T00:00:00"/>
        <d v="1996-12-30T00:00:00"/>
        <d v="1996-12-31T00:00:00"/>
        <d v="1997-01-02T00:00:00"/>
        <d v="1997-01-03T00:00:00"/>
        <d v="1997-01-06T00:00:00"/>
        <d v="1997-01-07T00:00:00"/>
        <d v="1997-01-08T00:00:00"/>
        <d v="1997-01-09T00:00:00"/>
        <d v="1997-01-10T00:00:00"/>
        <d v="1997-01-13T00:00:00"/>
        <d v="1997-01-14T00:00:00"/>
        <d v="1997-01-15T00:00:00"/>
        <d v="1997-01-16T00:00:00"/>
        <d v="1997-01-17T00:00:00"/>
        <d v="1997-01-20T00:00:00"/>
        <d v="1997-01-21T00:00:00"/>
        <d v="1997-01-22T00:00:00"/>
        <d v="1997-01-23T00:00:00"/>
        <d v="1997-01-24T00:00:00"/>
        <d v="1997-01-27T00:00:00"/>
        <d v="1997-01-28T00:00:00"/>
        <d v="1997-01-29T00:00:00"/>
        <d v="1997-01-30T00:00:00"/>
        <d v="1997-01-31T00:00:00"/>
        <d v="1997-02-03T00:00:00"/>
        <d v="1997-02-04T00:00:00"/>
        <d v="1997-02-05T00:00:00"/>
        <d v="1997-02-06T00:00:00"/>
        <d v="1997-02-07T00:00:00"/>
        <d v="1997-02-10T00:00:00"/>
        <d v="1997-02-11T00:00:00"/>
        <d v="1997-02-12T00:00:00"/>
        <d v="1997-02-13T00:00:00"/>
        <d v="1997-02-14T00:00:00"/>
        <d v="1997-02-18T00:00:00"/>
        <d v="1997-02-19T00:00:00"/>
        <d v="1997-02-20T00:00:00"/>
        <d v="1997-02-21T00:00:00"/>
        <d v="1997-02-24T00:00:00"/>
        <d v="1997-02-25T00:00:00"/>
        <d v="1997-02-26T00:00:00"/>
        <d v="1997-02-27T00:00:00"/>
        <d v="1997-02-28T00:00:00"/>
        <d v="1997-03-03T00:00:00"/>
        <d v="1997-03-04T00:00:00"/>
        <d v="1997-03-05T00:00:00"/>
        <d v="1997-03-06T00:00:00"/>
        <d v="1997-03-07T00:00:00"/>
        <d v="1997-03-10T00:00:00"/>
        <d v="1997-03-11T00:00:00"/>
        <d v="1997-03-12T00:00:00"/>
        <d v="1997-03-13T00:00:00"/>
        <d v="1997-03-14T00:00:00"/>
        <d v="1997-03-17T00:00:00"/>
        <d v="1997-03-18T00:00:00"/>
        <d v="1997-03-19T00:00:00"/>
        <d v="1997-03-20T00:00:00"/>
        <d v="1997-03-21T00:00:00"/>
        <d v="1997-03-24T00:00:00"/>
        <d v="1997-03-25T00:00:00"/>
        <d v="1997-03-26T00:00:00"/>
        <d v="1997-03-27T00:00:00"/>
        <d v="1997-03-31T00:00:00"/>
        <d v="1997-04-01T00:00:00"/>
        <d v="1997-04-02T00:00:00"/>
        <d v="1997-04-03T00:00:00"/>
        <d v="1997-04-04T00:00:00"/>
        <d v="1997-04-07T00:00:00"/>
        <d v="1997-04-08T00:00:00"/>
        <d v="1997-04-09T00:00:00"/>
        <d v="1997-04-10T00:00:00"/>
        <d v="1997-04-11T00:00:00"/>
        <d v="1997-04-14T00:00:00"/>
        <d v="1997-04-15T00:00:00"/>
        <d v="1997-04-16T00:00:00"/>
        <d v="1997-04-17T00:00:00"/>
        <d v="1997-04-18T00:00:00"/>
        <d v="1997-04-21T00:00:00"/>
        <d v="1997-04-22T00:00:00"/>
        <d v="1997-04-23T00:00:00"/>
        <d v="1997-04-24T00:00:00"/>
        <d v="1997-04-25T00:00:00"/>
        <d v="1997-04-28T00:00:00"/>
        <d v="1997-04-29T00:00:00"/>
        <d v="1997-04-30T00:00:00"/>
        <d v="1997-05-01T00:00:00"/>
        <d v="1997-05-02T00:00:00"/>
        <d v="1997-05-05T00:00:00"/>
        <d v="1997-05-06T00:00:00"/>
        <d v="1997-05-07T00:00:00"/>
        <d v="1997-05-08T00:00:00"/>
        <d v="1997-05-09T00:00:00"/>
        <d v="1997-05-12T00:00:00"/>
        <d v="1997-05-13T00:00:00"/>
        <d v="1997-05-14T00:00:00"/>
        <d v="1997-05-15T00:00:00"/>
        <d v="1997-05-16T00:00:00"/>
        <d v="1997-05-19T00:00:00"/>
        <d v="1997-05-20T00:00:00"/>
        <d v="1997-05-21T00:00:00"/>
        <d v="1997-05-22T00:00:00"/>
        <d v="1997-05-23T00:00:00"/>
        <d v="1997-05-27T00:00:00"/>
        <d v="1997-05-28T00:00:00"/>
        <d v="1997-05-29T00:00:00"/>
        <d v="1997-05-30T00:00:00"/>
        <d v="1997-06-02T00:00:00"/>
        <d v="1997-06-03T00:00:00"/>
        <d v="1997-06-04T00:00:00"/>
        <d v="1997-06-05T00:00:00"/>
        <d v="1997-06-06T00:00:00"/>
        <d v="1997-06-09T00:00:00"/>
        <d v="1997-06-10T00:00:00"/>
        <d v="1997-06-11T00:00:00"/>
        <d v="1997-06-12T00:00:00"/>
        <d v="1997-06-13T00:00:00"/>
        <d v="1997-06-16T00:00:00"/>
        <d v="1997-06-17T00:00:00"/>
        <d v="1997-06-18T00:00:00"/>
        <d v="1997-06-19T00:00:00"/>
        <d v="1997-06-20T00:00:00"/>
        <d v="1997-06-23T00:00:00"/>
        <d v="1997-06-24T00:00:00"/>
        <d v="1997-06-25T00:00:00"/>
        <d v="1997-06-26T00:00:00"/>
        <d v="1997-06-27T00:00:00"/>
        <d v="1997-06-30T00:00:00"/>
        <d v="1997-07-01T00:00:00"/>
        <d v="1997-07-02T00:00:00"/>
        <d v="1997-07-03T00:00:00"/>
        <d v="1997-07-07T00:00:00"/>
        <d v="1997-07-08T00:00:00"/>
        <d v="1997-07-09T00:00:00"/>
        <d v="1997-07-10T00:00:00"/>
        <d v="1997-07-11T00:00:00"/>
        <d v="1997-07-14T00:00:00"/>
        <d v="1997-07-15T00:00:00"/>
        <d v="1997-07-16T00:00:00"/>
        <d v="1997-07-17T00:00:00"/>
        <d v="1997-07-18T00:00:00"/>
        <d v="1997-07-21T00:00:00"/>
        <d v="1997-07-22T00:00:00"/>
        <d v="1997-07-23T00:00:00"/>
        <d v="1997-07-24T00:00:00"/>
        <d v="1997-07-25T00:00:00"/>
        <d v="1997-07-28T00:00:00"/>
        <d v="1997-07-29T00:00:00"/>
        <d v="1997-07-30T00:00:00"/>
        <d v="1997-07-31T00:00:00"/>
        <d v="1997-08-01T00:00:00"/>
        <d v="1997-08-04T00:00:00"/>
        <d v="1997-08-05T00:00:00"/>
        <d v="1997-08-06T00:00:00"/>
        <d v="1997-08-07T00:00:00"/>
        <d v="1997-08-08T00:00:00"/>
        <d v="1997-08-11T00:00:00"/>
        <d v="1997-08-12T00:00:00"/>
        <d v="1997-08-13T00:00:00"/>
        <d v="1997-08-14T00:00:00"/>
        <d v="1997-08-15T00:00:00"/>
        <d v="1997-08-18T00:00:00"/>
        <d v="1997-08-19T00:00:00"/>
        <d v="1997-08-20T00:00:00"/>
        <d v="1997-08-21T00:00:00"/>
        <d v="1997-08-22T00:00:00"/>
        <d v="1997-08-25T00:00:00"/>
        <d v="1997-08-26T00:00:00"/>
        <d v="1997-08-27T00:00:00"/>
        <d v="1997-08-28T00:00:00"/>
        <d v="1997-08-29T00:00:00"/>
        <d v="1997-09-02T00:00:00"/>
        <d v="1997-09-03T00:00:00"/>
        <d v="1997-09-04T00:00:00"/>
        <d v="1997-09-05T00:00:00"/>
        <d v="1997-09-08T00:00:00"/>
        <d v="1997-09-09T00:00:00"/>
        <d v="1997-09-10T00:00:00"/>
        <d v="1997-09-11T00:00:00"/>
        <d v="1997-09-12T00:00:00"/>
        <d v="1997-09-15T00:00:00"/>
        <d v="1997-09-16T00:00:00"/>
        <d v="1997-09-17T00:00:00"/>
        <d v="1997-09-18T00:00:00"/>
        <d v="1997-09-19T00:00:00"/>
        <d v="1997-09-22T00:00:00"/>
        <d v="1997-09-23T00:00:00"/>
        <d v="1997-09-24T00:00:00"/>
        <d v="1997-09-25T00:00:00"/>
        <d v="1997-09-26T00:00:00"/>
        <d v="1997-09-29T00:00:00"/>
        <d v="1997-09-30T00:00:00"/>
        <d v="1997-10-01T00:00:00"/>
        <d v="1997-10-02T00:00:00"/>
        <d v="1997-10-03T00:00:00"/>
        <d v="1997-10-06T00:00:00"/>
        <d v="1997-10-07T00:00:00"/>
        <d v="1997-10-08T00:00:00"/>
        <d v="1997-10-09T00:00:00"/>
        <d v="1997-10-10T00:00:00"/>
        <d v="1997-10-13T00:00:00"/>
        <d v="1997-10-14T00:00:00"/>
        <d v="1997-10-15T00:00:00"/>
        <d v="1997-10-16T00:00:00"/>
        <d v="1997-10-17T00:00:00"/>
        <d v="1997-10-20T00:00:00"/>
        <d v="1997-10-21T00:00:00"/>
        <d v="1997-10-22T00:00:00"/>
        <d v="1997-10-23T00:00:00"/>
        <d v="1997-10-24T00:00:00"/>
        <d v="1997-10-27T00:00:00"/>
        <d v="1997-10-28T00:00:00"/>
        <d v="1997-10-29T00:00:00"/>
        <d v="1997-10-30T00:00:00"/>
        <d v="1997-10-31T00:00:00"/>
        <d v="1997-11-03T00:00:00"/>
        <d v="1997-11-04T00:00:00"/>
        <d v="1997-11-05T00:00:00"/>
        <d v="1997-11-06T00:00:00"/>
        <d v="1997-11-07T00:00:00"/>
        <d v="1997-11-10T00:00:00"/>
        <d v="1997-11-11T00:00:00"/>
        <d v="1997-11-12T00:00:00"/>
        <d v="1997-11-13T00:00:00"/>
        <d v="1997-11-14T00:00:00"/>
        <d v="1997-11-17T00:00:00"/>
        <d v="1997-11-18T00:00:00"/>
        <d v="1997-11-19T00:00:00"/>
        <d v="1997-11-20T00:00:00"/>
        <d v="1997-11-21T00:00:00"/>
        <d v="1997-11-24T00:00:00"/>
        <d v="1997-11-25T00:00:00"/>
        <d v="1997-11-26T00:00:00"/>
        <d v="1997-11-28T00:00:00"/>
        <d v="1997-12-01T00:00:00"/>
        <d v="1997-12-02T00:00:00"/>
        <d v="1997-12-03T00:00:00"/>
        <d v="1997-12-04T00:00:00"/>
        <d v="1997-12-05T00:00:00"/>
        <d v="1997-12-08T00:00:00"/>
        <d v="1997-12-09T00:00:00"/>
        <d v="1997-12-10T00:00:00"/>
        <d v="1997-12-11T00:00:00"/>
        <d v="1997-12-12T00:00:00"/>
        <d v="1997-12-15T00:00:00"/>
        <d v="1997-12-16T00:00:00"/>
        <d v="1997-12-17T00:00:00"/>
        <d v="1997-12-18T00:00:00"/>
        <d v="1997-12-19T00:00:00"/>
        <d v="1997-12-22T00:00:00"/>
        <d v="1997-12-23T00:00:00"/>
        <d v="1997-12-24T00:00:00"/>
        <d v="1997-12-26T00:00:00"/>
        <d v="1997-12-29T00:00:00"/>
        <d v="1997-12-30T00:00:00"/>
        <d v="1997-12-31T00:00:00"/>
        <d v="1998-01-02T00:00:00"/>
        <d v="1998-01-05T00:00:00"/>
        <d v="1998-01-06T00:00:00"/>
        <d v="1998-01-07T00:00:00"/>
        <d v="1998-01-08T00:00:00"/>
        <d v="1998-01-09T00:00:00"/>
        <d v="1998-01-12T00:00:00"/>
        <d v="1998-01-13T00:00:00"/>
        <d v="1998-01-14T00:00:00"/>
        <d v="1998-01-15T00:00:00"/>
        <d v="1998-01-16T00:00:00"/>
        <d v="1998-01-20T00:00:00"/>
        <d v="1998-01-21T00:00:00"/>
        <d v="1998-01-22T00:00:00"/>
        <d v="1998-01-23T00:00:00"/>
        <d v="1998-01-26T00:00:00"/>
        <d v="1998-01-27T00:00:00"/>
        <d v="1998-01-28T00:00:00"/>
        <d v="1998-01-29T00:00:00"/>
        <d v="1998-01-30T00:00:00"/>
        <d v="1998-02-02T00:00:00"/>
        <d v="1998-02-03T00:00:00"/>
        <d v="1998-02-04T00:00:00"/>
        <d v="1998-02-05T00:00:00"/>
        <d v="1998-02-06T00:00:00"/>
        <d v="1998-02-09T00:00:00"/>
        <d v="1998-02-10T00:00:00"/>
        <d v="1998-02-11T00:00:00"/>
        <d v="1998-02-12T00:00:00"/>
        <d v="1998-02-13T00:00:00"/>
        <d v="1998-02-17T00:00:00"/>
        <d v="1998-02-18T00:00:00"/>
        <d v="1998-02-19T00:00:00"/>
        <d v="1998-02-20T00:00:00"/>
        <d v="1998-02-23T00:00:00"/>
        <d v="1998-02-24T00:00:00"/>
        <d v="1998-02-25T00:00:00"/>
        <d v="1998-02-26T00:00:00"/>
        <d v="1998-02-27T00:00:00"/>
        <d v="1998-03-02T00:00:00"/>
        <d v="1998-03-03T00:00:00"/>
        <d v="1998-03-04T00:00:00"/>
        <d v="1998-03-05T00:00:00"/>
        <d v="1998-03-06T00:00:00"/>
        <d v="1998-03-09T00:00:00"/>
        <d v="1998-03-10T00:00:00"/>
        <d v="1998-03-11T00:00:00"/>
        <d v="1998-03-12T00:00:00"/>
        <d v="1998-03-13T00:00:00"/>
        <d v="1998-03-16T00:00:00"/>
        <d v="1998-03-17T00:00:00"/>
        <d v="1998-03-18T00:00:00"/>
        <d v="1998-03-19T00:00:00"/>
        <d v="1998-03-20T00:00:00"/>
        <d v="1998-03-23T00:00:00"/>
        <d v="1998-03-24T00:00:00"/>
        <d v="1998-03-25T00:00:00"/>
        <d v="1998-03-26T00:00:00"/>
        <d v="1998-03-27T00:00:00"/>
        <d v="1998-03-30T00:00:00"/>
        <d v="1998-03-31T00:00:00"/>
        <d v="1998-04-01T00:00:00"/>
        <d v="1998-04-02T00:00:00"/>
        <d v="1998-04-03T00:00:00"/>
        <d v="1998-04-06T00:00:00"/>
        <d v="1998-04-07T00:00:00"/>
        <d v="1998-04-08T00:00:00"/>
        <d v="1998-04-09T00:00:00"/>
        <d v="1998-04-13T00:00:00"/>
        <d v="1998-04-14T00:00:00"/>
        <d v="1998-04-15T00:00:00"/>
        <d v="1998-04-16T00:00:00"/>
        <d v="1998-04-17T00:00:00"/>
        <d v="1998-04-20T00:00:00"/>
        <d v="1998-04-21T00:00:00"/>
        <d v="1998-04-22T00:00:00"/>
        <d v="1998-04-23T00:00:00"/>
        <d v="1998-04-24T00:00:00"/>
        <d v="1998-04-27T00:00:00"/>
        <d v="1998-04-28T00:00:00"/>
        <d v="1998-04-29T00:00:00"/>
        <d v="1998-04-30T00:00:00"/>
        <d v="1998-05-01T00:00:00"/>
        <d v="1998-05-04T00:00:00"/>
        <d v="1998-05-05T00:00:00"/>
        <d v="1998-05-06T00:00:00"/>
        <d v="1998-05-07T00:00:00"/>
        <d v="1998-05-08T00:00:00"/>
        <d v="1998-05-11T00:00:00"/>
        <d v="1998-05-12T00:00:00"/>
        <d v="1998-05-13T00:00:00"/>
        <d v="1998-05-14T00:00:00"/>
        <d v="1998-05-15T00:00:00"/>
        <d v="1998-05-18T00:00:00"/>
        <d v="1998-05-19T00:00:00"/>
        <d v="1998-05-20T00:00:00"/>
        <d v="1998-05-21T00:00:00"/>
        <d v="1998-05-22T00:00:00"/>
        <d v="1998-05-26T00:00:00"/>
        <d v="1998-05-27T00:00:00"/>
        <d v="1998-05-28T00:00:00"/>
        <d v="1998-05-29T00:00:00"/>
        <d v="1998-06-01T00:00:00"/>
        <d v="1998-06-02T00:00:00"/>
        <d v="1998-06-03T00:00:00"/>
        <d v="1998-06-04T00:00:00"/>
        <d v="1998-06-05T00:00:00"/>
        <d v="1998-06-08T00:00:00"/>
        <d v="1998-06-09T00:00:00"/>
        <d v="1998-06-10T00:00:00"/>
        <d v="1998-06-11T00:00:00"/>
        <d v="1998-06-12T00:00:00"/>
        <d v="1998-06-15T00:00:00"/>
        <d v="1998-06-16T00:00:00"/>
        <d v="1998-06-17T00:00:00"/>
        <d v="1998-06-18T00:00:00"/>
        <d v="1998-06-19T00:00:00"/>
        <d v="1998-06-22T00:00:00"/>
        <d v="1998-06-23T00:00:00"/>
        <d v="1998-06-24T00:00:00"/>
        <d v="1998-06-25T00:00:00"/>
        <d v="1998-06-26T00:00:00"/>
        <d v="1998-06-29T00:00:00"/>
        <d v="1998-06-30T00:00:00"/>
        <d v="1998-07-01T00:00:00"/>
        <d v="1998-07-02T00:00:00"/>
        <d v="1998-07-06T00:00:00"/>
        <d v="1998-07-07T00:00:00"/>
        <d v="1998-07-08T00:00:00"/>
        <d v="1998-07-09T00:00:00"/>
        <d v="1998-07-10T00:00:00"/>
        <d v="1998-07-13T00:00:00"/>
        <d v="1998-07-14T00:00:00"/>
        <d v="1998-07-15T00:00:00"/>
        <d v="1998-07-16T00:00:00"/>
        <d v="1998-07-17T00:00:00"/>
        <d v="1998-07-20T00:00:00"/>
        <d v="1998-07-21T00:00:00"/>
        <d v="1998-07-22T00:00:00"/>
        <d v="1998-07-23T00:00:00"/>
        <d v="1998-07-24T00:00:00"/>
        <d v="1998-07-27T00:00:00"/>
        <d v="1998-07-28T00:00:00"/>
        <d v="1998-07-29T00:00:00"/>
        <d v="1998-07-30T00:00:00"/>
        <d v="1998-07-31T00:00:00"/>
        <d v="1998-08-03T00:00:00"/>
        <d v="1998-08-04T00:00:00"/>
        <d v="1998-08-05T00:00:00"/>
        <d v="1998-08-06T00:00:00"/>
        <d v="1998-08-07T00:00:00"/>
        <d v="1998-08-10T00:00:00"/>
        <d v="1998-08-11T00:00:00"/>
        <d v="1998-08-12T00:00:00"/>
        <d v="1998-08-13T00:00:00"/>
        <d v="1998-08-14T00:00:00"/>
        <d v="1998-08-17T00:00:00"/>
        <d v="1998-08-18T00:00:00"/>
        <d v="1998-08-19T00:00:00"/>
        <d v="1998-08-20T00:00:00"/>
        <d v="1998-08-21T00:00:00"/>
        <d v="1998-08-24T00:00:00"/>
        <d v="1998-08-25T00:00:00"/>
        <d v="1998-08-26T00:00:00"/>
        <d v="1998-08-27T00:00:00"/>
        <d v="1998-08-28T00:00:00"/>
        <d v="1998-08-31T00:00:00"/>
        <d v="1998-09-01T00:00:00"/>
        <d v="1998-09-02T00:00:00"/>
        <d v="1998-09-03T00:00:00"/>
        <d v="1998-09-04T00:00:00"/>
        <d v="1998-09-08T00:00:00"/>
        <d v="1998-09-09T00:00:00"/>
        <d v="1998-09-10T00:00:00"/>
        <d v="1998-09-11T00:00:00"/>
        <d v="1998-09-14T00:00:00"/>
        <d v="1998-09-15T00:00:00"/>
        <d v="1998-09-16T00:00:00"/>
        <d v="1998-09-17T00:00:00"/>
        <d v="1998-09-18T00:00:00"/>
        <d v="1998-09-21T00:00:00"/>
        <d v="1998-09-22T00:00:00"/>
        <d v="1998-09-23T00:00:00"/>
        <d v="1998-09-24T00:00:00"/>
        <d v="1998-09-25T00:00:00"/>
        <d v="1998-09-28T00:00:00"/>
        <d v="1998-09-29T00:00:00"/>
        <d v="1998-09-30T00:00:00"/>
        <d v="1998-10-01T00:00:00"/>
        <d v="1998-10-02T00:00:00"/>
        <d v="1998-10-05T00:00:00"/>
        <d v="1998-10-06T00:00:00"/>
        <d v="1998-10-07T00:00:00"/>
        <d v="1998-10-08T00:00:00"/>
        <d v="1998-10-09T00:00:00"/>
        <d v="1998-10-12T00:00:00"/>
        <d v="1998-10-13T00:00:00"/>
        <d v="1998-10-14T00:00:00"/>
        <d v="1998-10-15T00:00:00"/>
        <d v="1998-10-16T00:00:00"/>
        <d v="1998-10-19T00:00:00"/>
        <d v="1998-10-20T00:00:00"/>
        <d v="1998-10-21T00:00:00"/>
        <d v="1998-10-22T00:00:00"/>
        <d v="1998-10-23T00:00:00"/>
        <d v="1998-10-26T00:00:00"/>
        <d v="1998-10-27T00:00:00"/>
        <d v="1998-10-28T00:00:00"/>
        <d v="1998-10-29T00:00:00"/>
        <d v="1998-10-30T00:00:00"/>
        <d v="1998-11-02T00:00:00"/>
        <d v="1998-11-03T00:00:00"/>
        <d v="1998-11-04T00:00:00"/>
        <d v="1998-11-05T00:00:00"/>
        <d v="1998-11-06T00:00:00"/>
        <d v="1998-11-09T00:00:00"/>
        <d v="1998-11-10T00:00:00"/>
        <d v="1998-11-11T00:00:00"/>
        <d v="1998-11-12T00:00:00"/>
        <d v="1998-11-13T00:00:00"/>
        <d v="1998-11-16T00:00:00"/>
        <d v="1998-11-17T00:00:00"/>
        <d v="1998-11-18T00:00:00"/>
        <d v="1998-11-19T00:00:00"/>
        <d v="1998-11-20T00:00:00"/>
        <d v="1998-11-23T00:00:00"/>
        <d v="1998-11-24T00:00:00"/>
        <d v="1998-11-25T00:00:00"/>
        <d v="1998-11-27T00:00:00"/>
        <d v="1998-11-30T00:00:00"/>
        <d v="1998-12-01T00:00:00"/>
        <d v="1998-12-02T00:00:00"/>
        <d v="1998-12-03T00:00:00"/>
        <d v="1998-12-04T00:00:00"/>
        <d v="1998-12-07T00:00:00"/>
        <d v="1998-12-08T00:00:00"/>
        <d v="1998-12-09T00:00:00"/>
        <d v="1998-12-10T00:00:00"/>
        <d v="1998-12-11T00:00:00"/>
        <d v="1998-12-14T00:00:00"/>
        <d v="1998-12-15T00:00:00"/>
        <d v="1998-12-16T00:00:00"/>
        <d v="1998-12-17T00:00:00"/>
        <d v="1998-12-18T00:00:00"/>
        <d v="1998-12-21T00:00:00"/>
        <d v="1998-12-22T00:00:00"/>
        <d v="1998-12-23T00:00:00"/>
        <d v="1998-12-24T00:00:00"/>
        <d v="1998-12-28T00:00:00"/>
        <d v="1998-12-29T00:00:00"/>
        <d v="1998-12-30T00:00:00"/>
        <d v="1998-12-31T00:00:00"/>
        <d v="1999-01-04T00:00:00"/>
        <d v="1999-01-05T00:00:00"/>
        <d v="1999-01-06T00:00:00"/>
        <d v="1999-01-07T00:00:00"/>
        <d v="1999-01-08T00:00:00"/>
        <d v="1999-01-11T00:00:00"/>
        <d v="1999-01-12T00:00:00"/>
        <d v="1999-01-13T00:00:00"/>
        <d v="1999-01-14T00:00:00"/>
        <d v="1999-01-15T00:00:00"/>
        <d v="1999-01-19T00:00:00"/>
        <d v="1999-01-20T00:00:00"/>
        <d v="1999-01-21T00:00:00"/>
        <d v="1999-01-22T00:00:00"/>
        <d v="1999-01-25T00:00:00"/>
        <d v="1999-01-26T00:00:00"/>
        <d v="1999-01-27T00:00:00"/>
        <d v="1999-01-28T00:00:00"/>
        <d v="1999-01-29T00:00:00"/>
        <d v="1999-02-01T00:00:00"/>
        <d v="1999-02-02T00:00:00"/>
        <d v="1999-02-03T00:00:00"/>
        <d v="1999-02-04T00:00:00"/>
        <d v="1999-02-05T00:00:00"/>
        <d v="1999-02-08T00:00:00"/>
        <d v="1999-02-09T00:00:00"/>
        <d v="1999-02-10T00:00:00"/>
        <d v="1999-02-11T00:00:00"/>
        <d v="1999-02-12T00:00:00"/>
        <d v="1999-02-16T00:00:00"/>
        <d v="1999-02-17T00:00:00"/>
        <d v="1999-02-18T00:00:00"/>
        <d v="1999-02-19T00:00:00"/>
        <d v="1999-02-22T00:00:00"/>
        <d v="1999-02-23T00:00:00"/>
        <d v="1999-02-24T00:00:00"/>
        <d v="1999-02-25T00:00:00"/>
        <d v="1999-02-26T00:00:00"/>
        <d v="1999-03-01T00:00:00"/>
        <d v="1999-03-02T00:00:00"/>
        <d v="1999-03-03T00:00:00"/>
        <d v="1999-03-04T00:00:00"/>
        <d v="1999-03-05T00:00:00"/>
        <d v="1999-03-08T00:00:00"/>
        <d v="1999-03-09T00:00:00"/>
        <d v="1999-03-10T00:00:00"/>
        <d v="1999-03-11T00:00:00"/>
        <d v="1999-03-12T00:00:00"/>
        <d v="1999-03-15T00:00:00"/>
        <d v="1999-03-16T00:00:00"/>
        <d v="1999-03-17T00:00:00"/>
        <d v="1999-03-18T00:00:00"/>
        <d v="1999-03-19T00:00:00"/>
        <d v="1999-03-22T00:00:00"/>
        <d v="1999-03-23T00:00:00"/>
        <d v="1999-03-24T00:00:00"/>
        <d v="1999-03-25T00:00:00"/>
        <d v="1999-03-26T00:00:00"/>
        <d v="1999-03-29T00:00:00"/>
        <d v="1999-03-30T00:00:00"/>
        <d v="1999-03-31T00:00:00"/>
        <d v="1999-04-01T00:00:00"/>
        <d v="1999-04-05T00:00:00"/>
        <d v="1999-04-06T00:00:00"/>
        <d v="1999-04-07T00:00:00"/>
        <d v="1999-04-08T00:00:00"/>
        <d v="1999-04-09T00:00:00"/>
        <d v="1999-04-12T00:00:00"/>
        <d v="1999-04-13T00:00:00"/>
        <d v="1999-04-14T00:00:00"/>
        <d v="1999-04-15T00:00:00"/>
        <d v="1999-04-16T00:00:00"/>
        <d v="1999-04-19T00:00:00"/>
        <d v="1999-04-20T00:00:00"/>
        <d v="1999-04-21T00:00:00"/>
        <d v="1999-04-22T00:00:00"/>
        <d v="1999-04-23T00:00:00"/>
        <d v="1999-04-26T00:00:00"/>
        <d v="1999-04-27T00:00:00"/>
        <d v="1999-04-28T00:00:00"/>
        <d v="1999-04-29T00:00:00"/>
        <d v="1999-04-30T00:00:00"/>
        <d v="1999-05-03T00:00:00"/>
        <d v="1999-05-04T00:00:00"/>
        <d v="1999-05-05T00:00:00"/>
        <d v="1999-05-06T00:00:00"/>
        <d v="1999-05-07T00:00:00"/>
        <d v="1999-05-10T00:00:00"/>
        <d v="1999-05-11T00:00:00"/>
        <d v="1999-05-12T00:00:00"/>
        <d v="1999-05-13T00:00:00"/>
        <d v="1999-05-14T00:00:00"/>
        <d v="1999-05-17T00:00:00"/>
        <d v="1999-05-18T00:00:00"/>
        <d v="1999-05-19T00:00:00"/>
        <d v="1999-05-20T00:00:00"/>
        <d v="1999-05-21T00:00:00"/>
        <d v="1999-05-24T00:00:00"/>
        <d v="1999-05-25T00:00:00"/>
        <d v="1999-05-26T00:00:00"/>
        <d v="1999-05-27T00:00:00"/>
        <d v="1999-05-28T00:00:00"/>
        <d v="1999-06-01T00:00:00"/>
        <d v="1999-06-02T00:00:00"/>
        <d v="1999-06-03T00:00:00"/>
        <d v="1999-06-04T00:00:00"/>
        <d v="1999-06-07T00:00:00"/>
        <d v="1999-06-08T00:00:00"/>
        <d v="1999-06-09T00:00:00"/>
        <d v="1999-06-10T00:00:00"/>
        <d v="1999-06-11T00:00:00"/>
        <d v="1999-06-14T00:00:00"/>
        <d v="1999-06-15T00:00:00"/>
        <d v="1999-06-16T00:00:00"/>
        <d v="1999-06-17T00:00:00"/>
        <d v="1999-06-18T00:00:00"/>
        <d v="1999-06-21T00:00:00"/>
        <d v="1999-06-22T00:00:00"/>
        <d v="1999-06-23T00:00:00"/>
        <d v="1999-06-24T00:00:00"/>
        <d v="1999-06-25T00:00:00"/>
        <d v="1999-06-28T00:00:00"/>
        <d v="1999-06-29T00:00:00"/>
        <d v="1999-06-30T00:00:00"/>
        <d v="1999-07-01T00:00:00"/>
        <d v="1999-07-02T00:00:00"/>
        <d v="1999-07-06T00:00:00"/>
        <d v="1999-07-07T00:00:00"/>
        <d v="1999-07-08T00:00:00"/>
        <d v="1999-07-09T00:00:00"/>
        <d v="1999-07-12T00:00:00"/>
        <d v="1999-07-13T00:00:00"/>
        <d v="1999-07-14T00:00:00"/>
        <d v="1999-07-15T00:00:00"/>
        <d v="1999-07-16T00:00:00"/>
        <d v="1999-07-19T00:00:00"/>
        <d v="1999-07-20T00:00:00"/>
        <d v="1999-07-21T00:00:00"/>
        <d v="1999-07-22T00:00:00"/>
        <d v="1999-07-23T00:00:00"/>
        <d v="1999-07-26T00:00:00"/>
        <d v="1999-07-27T00:00:00"/>
        <d v="1999-07-28T00:00:00"/>
        <d v="1999-07-29T00:00:00"/>
        <d v="1999-07-30T00:00:00"/>
        <d v="1999-08-02T00:00:00"/>
        <d v="1999-08-03T00:00:00"/>
        <d v="1999-08-04T00:00:00"/>
        <d v="1999-08-05T00:00:00"/>
        <d v="1999-08-06T00:00:00"/>
        <d v="1999-08-09T00:00:00"/>
        <d v="1999-08-10T00:00:00"/>
        <d v="1999-08-11T00:00:00"/>
        <d v="1999-08-12T00:00:00"/>
        <d v="1999-08-13T00:00:00"/>
        <d v="1999-08-16T00:00:00"/>
        <d v="1999-08-17T00:00:00"/>
        <d v="1999-08-18T00:00:00"/>
        <d v="1999-08-19T00:00:00"/>
        <d v="1999-08-20T00:00:00"/>
        <d v="1999-08-23T00:00:00"/>
        <d v="1999-08-24T00:00:00"/>
        <d v="1999-08-25T00:00:00"/>
        <d v="1999-08-26T00:00:00"/>
        <d v="1999-08-27T00:00:00"/>
        <d v="1999-08-30T00:00:00"/>
        <d v="1999-08-31T00:00:00"/>
        <d v="1999-09-01T00:00:00"/>
        <d v="1999-09-02T00:00:00"/>
        <d v="1999-09-03T00:00:00"/>
        <d v="1999-09-07T00:00:00"/>
        <d v="1999-09-08T00:00:00"/>
        <d v="1999-09-09T00:00:00"/>
        <d v="1999-09-10T00:00:00"/>
        <d v="1999-09-13T00:00:00"/>
        <d v="1999-09-14T00:00:00"/>
        <d v="1999-09-15T00:00:00"/>
        <d v="1999-09-16T00:00:00"/>
        <d v="1999-09-17T00:00:00"/>
        <d v="1999-09-20T00:00:00"/>
        <d v="1999-09-21T00:00:00"/>
        <d v="1999-09-22T00:00:00"/>
        <d v="1999-09-23T00:00:00"/>
        <d v="1999-09-24T00:00:00"/>
        <d v="1999-09-27T00:00:00"/>
        <d v="1999-09-28T00:00:00"/>
        <d v="1999-09-29T00:00:00"/>
        <d v="1999-09-30T00:00:00"/>
        <d v="1999-10-01T00:00:00"/>
        <d v="1999-10-04T00:00:00"/>
        <d v="1999-10-05T00:00:00"/>
        <d v="1999-10-06T00:00:00"/>
        <d v="1999-10-07T00:00:00"/>
        <d v="1999-10-08T00:00:00"/>
        <d v="1999-10-11T00:00:00"/>
        <d v="1999-10-12T00:00:00"/>
        <d v="1999-10-13T00:00:00"/>
        <d v="1999-10-14T00:00:00"/>
        <d v="1999-10-15T00:00:00"/>
        <d v="1999-10-18T00:00:00"/>
        <d v="1999-10-19T00:00:00"/>
        <d v="1999-10-20T00:00:00"/>
        <d v="1999-10-21T00:00:00"/>
        <d v="1999-10-22T00:00:00"/>
        <d v="1999-10-25T00:00:00"/>
        <d v="1999-10-26T00:00:00"/>
        <d v="1999-10-27T00:00:00"/>
        <d v="1999-10-28T00:00:00"/>
        <d v="1999-10-29T00:00:00"/>
        <d v="1999-11-01T00:00:00"/>
        <d v="1999-11-02T00:00:00"/>
        <d v="1999-11-03T00:00:00"/>
        <d v="1999-11-04T00:00:00"/>
        <d v="1999-11-05T00:00:00"/>
        <d v="1999-11-08T00:00:00"/>
        <d v="1999-11-09T00:00:00"/>
        <d v="1999-11-10T00:00:00"/>
        <d v="1999-11-11T00:00:00"/>
        <d v="1999-11-12T00:00:00"/>
        <d v="1999-11-15T00:00:00"/>
        <d v="1999-11-16T00:00:00"/>
        <d v="1999-11-17T00:00:00"/>
        <d v="1999-11-18T00:00:00"/>
        <d v="1999-11-19T00:00:00"/>
        <d v="1999-11-22T00:00:00"/>
        <d v="1999-11-23T00:00:00"/>
        <d v="1999-11-24T00:00:00"/>
        <d v="1999-11-26T00:00:00"/>
        <d v="1999-11-29T00:00:00"/>
        <d v="1999-11-30T00:00:00"/>
        <d v="1999-12-01T00:00:00"/>
        <d v="1999-12-02T00:00:00"/>
        <d v="1999-12-03T00:00:00"/>
        <d v="1999-12-06T00:00:00"/>
        <d v="1999-12-07T00:00:00"/>
        <d v="1999-12-08T00:00:00"/>
        <d v="1999-12-09T00:00:00"/>
        <d v="1999-12-10T00:00:00"/>
        <d v="1999-12-13T00:00:00"/>
        <d v="1999-12-14T00:00:00"/>
        <d v="1999-12-15T00:00:00"/>
        <d v="1999-12-16T00:00:00"/>
        <d v="1999-12-17T00:00:00"/>
        <d v="1999-12-20T00:00:00"/>
        <d v="1999-12-21T00:00:00"/>
        <d v="1999-12-22T00:00:00"/>
        <d v="1999-12-23T00:00:00"/>
        <d v="1999-12-27T00:00:00"/>
        <d v="1999-12-28T00:00:00"/>
        <d v="1999-12-29T00:00:00"/>
        <d v="1999-12-30T00:00:00"/>
        <d v="1999-12-31T00:00:00"/>
        <d v="2000-01-03T00:00:00"/>
        <d v="2000-01-04T00:00:00"/>
        <d v="2000-01-05T00:00:00"/>
        <d v="2000-01-06T00:00:00"/>
        <d v="2000-01-07T00:00:00"/>
        <d v="2000-01-10T00:00:00"/>
        <d v="2000-01-11T00:00:00"/>
        <d v="2000-01-12T00:00:00"/>
        <d v="2000-01-13T00:00:00"/>
        <d v="2000-01-14T00:00:00"/>
        <d v="2000-01-18T00:00:00"/>
        <d v="2000-01-19T00:00:00"/>
        <d v="2000-01-20T00:00:00"/>
        <d v="2000-01-21T00:00:00"/>
        <d v="2000-01-24T00:00:00"/>
        <d v="2000-01-25T00:00:00"/>
        <d v="2000-01-26T00:00:00"/>
        <d v="2000-01-27T00:00:00"/>
        <d v="2000-01-28T00:00:00"/>
        <d v="2000-01-31T00:00:00"/>
        <d v="2000-02-01T00:00:00"/>
        <d v="2000-02-02T00:00:00"/>
        <d v="2000-02-03T00:00:00"/>
        <d v="2000-02-04T00:00:00"/>
        <d v="2000-02-07T00:00:00"/>
        <d v="2000-02-08T00:00:00"/>
        <d v="2000-02-09T00:00:00"/>
        <d v="2000-02-10T00:00:00"/>
        <d v="2000-02-11T00:00:00"/>
        <d v="2000-02-14T00:00:00"/>
        <d v="2000-02-15T00:00:00"/>
        <d v="2000-02-16T00:00:00"/>
        <d v="2000-02-17T00:00:00"/>
        <d v="2000-02-18T00:00:00"/>
        <d v="2000-02-22T00:00:00"/>
        <d v="2000-02-23T00:00:00"/>
        <d v="2000-02-24T00:00:00"/>
        <d v="2000-02-25T00:00:00"/>
        <d v="2000-02-28T00:00:00"/>
        <d v="2000-02-29T00:00:00"/>
        <d v="2000-03-01T00:00:00"/>
        <d v="2000-03-02T00:00:00"/>
        <d v="2000-03-03T00:00:00"/>
        <d v="2000-03-06T00:00:00"/>
        <d v="2000-03-07T00:00:00"/>
        <d v="2000-03-08T00:00:00"/>
        <d v="2000-03-09T00:00:00"/>
        <d v="2000-03-10T00:00:00"/>
        <d v="2000-03-13T00:00:00"/>
        <d v="2000-03-14T00:00:00"/>
        <d v="2000-03-15T00:00:00"/>
        <d v="2000-03-16T00:00:00"/>
        <d v="2000-03-17T00:00:00"/>
        <d v="2000-03-20T00:00:00"/>
        <d v="2000-03-21T00:00:00"/>
        <d v="2000-03-22T00:00:00"/>
        <d v="2000-03-23T00:00:00"/>
        <d v="2000-03-24T00:00:00"/>
        <d v="2000-03-27T00:00:00"/>
        <d v="2000-03-28T00:00:00"/>
        <d v="2000-03-29T00:00:00"/>
        <d v="2000-03-30T00:00:00"/>
        <d v="2000-03-31T00:00:00"/>
        <d v="2000-04-03T00:00:00"/>
        <d v="2000-04-04T00:00:00"/>
        <d v="2000-04-05T00:00:00"/>
        <d v="2000-04-06T00:00:00"/>
        <d v="2000-04-07T00:00:00"/>
        <d v="2000-04-10T00:00:00"/>
        <d v="2000-04-11T00:00:00"/>
        <d v="2000-04-12T00:00:00"/>
        <d v="2000-04-13T00:00:00"/>
        <d v="2000-04-14T00:00:00"/>
        <d v="2000-04-17T00:00:00"/>
        <d v="2000-04-18T00:00:00"/>
        <d v="2000-04-19T00:00:00"/>
        <d v="2000-04-20T00:00:00"/>
        <d v="2000-04-24T00:00:00"/>
        <d v="2000-04-25T00:00:00"/>
        <d v="2000-04-26T00:00:00"/>
        <d v="2000-04-27T00:00:00"/>
        <d v="2000-04-28T00:00:00"/>
        <d v="2000-05-01T00:00:00"/>
        <d v="2000-05-02T00:00:00"/>
        <d v="2000-05-03T00:00:00"/>
        <d v="2000-05-04T00:00:00"/>
        <d v="2000-05-05T00:00:00"/>
        <d v="2000-05-08T00:00:00"/>
        <d v="2000-05-09T00:00:00"/>
        <d v="2000-05-10T00:00:00"/>
        <d v="2000-05-11T00:00:00"/>
        <d v="2000-05-12T00:00:00"/>
        <d v="2000-05-15T00:00:00"/>
        <d v="2000-05-16T00:00:00"/>
        <d v="2000-05-17T00:00:00"/>
        <d v="2000-05-18T00:00:00"/>
        <d v="2000-05-19T00:00:00"/>
        <d v="2000-05-22T00:00:00"/>
        <d v="2000-05-23T00:00:00"/>
        <d v="2000-05-24T00:00:00"/>
        <d v="2000-05-25T00:00:00"/>
        <d v="2000-05-26T00:00:00"/>
        <d v="2000-05-30T00:00:00"/>
        <d v="2000-05-31T00:00:00"/>
        <d v="2000-06-01T00:00:00"/>
        <d v="2000-06-02T00:00:00"/>
        <d v="2000-06-05T00:00:00"/>
        <d v="2000-06-06T00:00:00"/>
        <d v="2000-06-07T00:00:00"/>
        <d v="2000-06-08T00:00:00"/>
        <d v="2000-06-09T00:00:00"/>
        <d v="2000-06-12T00:00:00"/>
        <d v="2000-06-13T00:00:00"/>
        <d v="2000-06-14T00:00:00"/>
        <d v="2000-06-15T00:00:00"/>
        <d v="2000-06-16T00:00:00"/>
        <d v="2000-06-19T00:00:00"/>
        <d v="2000-06-20T00:00:00"/>
        <d v="2000-06-21T00:00:00"/>
        <d v="2000-06-22T00:00:00"/>
        <d v="2000-06-23T00:00:00"/>
        <d v="2000-06-26T00:00:00"/>
        <d v="2000-06-27T00:00:00"/>
        <d v="2000-06-28T00:00:00"/>
        <d v="2000-06-29T00:00:00"/>
        <d v="2000-06-30T00:00:00"/>
        <d v="2000-07-03T00:00:00"/>
        <d v="2000-07-05T00:00:00"/>
        <d v="2000-07-06T00:00:00"/>
        <d v="2000-07-07T00:00:00"/>
        <d v="2000-07-10T00:00:00"/>
        <d v="2000-07-11T00:00:00"/>
        <d v="2000-07-12T00:00:00"/>
        <d v="2000-07-13T00:00:00"/>
        <d v="2000-07-14T00:00:00"/>
        <d v="2000-07-17T00:00:00"/>
        <d v="2000-07-18T00:00:00"/>
        <d v="2000-07-19T00:00:00"/>
        <d v="2000-07-20T00:00:00"/>
        <d v="2000-07-21T00:00:00"/>
        <d v="2000-07-24T00:00:00"/>
        <d v="2000-07-25T00:00:00"/>
        <d v="2000-07-26T00:00:00"/>
        <d v="2000-07-27T00:00:00"/>
        <d v="2000-07-28T00:00:00"/>
        <d v="2000-07-31T00:00:00"/>
        <d v="2000-08-01T00:00:00"/>
        <d v="2000-08-02T00:00:00"/>
        <d v="2000-08-03T00:00:00"/>
        <d v="2000-08-04T00:00:00"/>
        <d v="2000-08-07T00:00:00"/>
        <d v="2000-08-08T00:00:00"/>
        <d v="2000-08-09T00:00:00"/>
        <d v="2000-08-10T00:00:00"/>
        <d v="2000-08-11T00:00:00"/>
        <d v="2000-08-14T00:00:00"/>
        <d v="2000-08-15T00:00:00"/>
        <d v="2000-08-16T00:00:00"/>
        <d v="2000-08-17T00:00:00"/>
        <d v="2000-08-18T00:00:00"/>
        <d v="2000-08-21T00:00:00"/>
        <d v="2000-08-22T00:00:00"/>
        <d v="2000-08-23T00:00:00"/>
        <d v="2000-08-24T00:00:00"/>
        <d v="2000-08-25T00:00:00"/>
        <d v="2000-08-28T00:00:00"/>
        <d v="2000-08-29T00:00:00"/>
        <d v="2000-08-30T00:00:00"/>
        <d v="2000-08-31T00:00:00"/>
        <d v="2000-09-01T00:00:00"/>
        <d v="2000-09-05T00:00:00"/>
        <d v="2000-09-06T00:00:00"/>
        <d v="2000-09-07T00:00:00"/>
        <d v="2000-09-08T00:00:00"/>
        <d v="2000-09-11T00:00:00"/>
        <d v="2000-09-12T00:00:00"/>
        <d v="2000-09-13T00:00:00"/>
        <d v="2000-09-14T00:00:00"/>
        <d v="2000-09-15T00:00:00"/>
        <d v="2000-09-18T00:00:00"/>
        <d v="2000-09-19T00:00:00"/>
        <d v="2000-09-20T00:00:00"/>
        <d v="2000-09-21T00:00:00"/>
        <d v="2000-09-22T00:00:00"/>
        <d v="2000-09-25T00:00:00"/>
        <d v="2000-09-26T00:00:00"/>
        <d v="2000-09-27T00:00:00"/>
        <d v="2000-09-28T00:00:00"/>
        <d v="2000-09-29T00:00:00"/>
        <d v="2000-10-02T00:00:00"/>
        <d v="2000-10-03T00:00:00"/>
        <d v="2000-10-04T00:00:00"/>
        <d v="2000-10-05T00:00:00"/>
        <d v="2000-10-06T00:00:00"/>
        <d v="2000-10-09T00:00:00"/>
        <d v="2000-10-10T00:00:00"/>
        <d v="2000-10-11T00:00:00"/>
        <d v="2000-10-12T00:00:00"/>
        <d v="2000-10-13T00:00:00"/>
        <d v="2000-10-16T00:00:00"/>
        <d v="2000-10-17T00:00:00"/>
        <d v="2000-10-18T00:00:00"/>
        <d v="2000-10-19T00:00:00"/>
        <d v="2000-10-20T00:00:00"/>
        <d v="2000-10-23T00:00:00"/>
        <d v="2000-10-24T00:00:00"/>
        <d v="2000-10-25T00:00:00"/>
        <d v="2000-10-26T00:00:00"/>
        <d v="2000-10-27T00:00:00"/>
        <d v="2000-10-30T00:00:00"/>
        <d v="2000-10-31T00:00:00"/>
        <d v="2000-11-01T00:00:00"/>
        <d v="2000-11-02T00:00:00"/>
        <d v="2000-11-03T00:00:00"/>
        <d v="2000-11-06T00:00:00"/>
        <d v="2000-11-07T00:00:00"/>
        <d v="2000-11-08T00:00:00"/>
        <d v="2000-11-09T00:00:00"/>
        <d v="2000-11-10T00:00:00"/>
        <d v="2000-11-13T00:00:00"/>
        <d v="2000-11-14T00:00:00"/>
        <d v="2000-11-15T00:00:00"/>
        <d v="2000-11-16T00:00:00"/>
        <d v="2000-11-17T00:00:00"/>
        <d v="2000-11-20T00:00:00"/>
        <d v="2000-11-21T00:00:00"/>
        <d v="2000-11-22T00:00:00"/>
        <d v="2000-11-24T00:00:00"/>
        <d v="2000-11-27T00:00:00"/>
        <d v="2000-11-28T00:00:00"/>
        <d v="2000-11-29T00:00:00"/>
        <d v="2000-11-30T00:00:00"/>
        <d v="2000-12-01T00:00:00"/>
        <d v="2000-12-04T00:00:00"/>
        <d v="2000-12-05T00:00:00"/>
        <d v="2000-12-06T00:00:00"/>
        <d v="2000-12-07T00:00:00"/>
        <d v="2000-12-08T00:00:00"/>
        <d v="2000-12-11T00:00:00"/>
        <d v="2000-12-12T00:00:00"/>
        <d v="2000-12-13T00:00:00"/>
        <d v="2000-12-14T00:00:00"/>
        <d v="2000-12-15T00:00:00"/>
        <d v="2000-12-18T00:00:00"/>
        <d v="2000-12-19T00:00:00"/>
        <d v="2000-12-20T00:00:00"/>
        <d v="2000-12-21T00:00:00"/>
        <d v="2000-12-22T00:00:00"/>
        <d v="2000-12-26T00:00:00"/>
        <d v="2000-12-27T00:00:00"/>
        <d v="2000-12-28T00:00:00"/>
        <d v="2000-12-29T00:00:00"/>
        <d v="2001-01-02T00:00:00"/>
        <d v="2001-01-03T00:00:00"/>
        <d v="2001-01-04T00:00:00"/>
        <d v="2001-01-05T00:00:00"/>
        <d v="2001-01-08T00:00:00"/>
        <d v="2001-01-09T00:00:00"/>
        <d v="2001-01-10T00:00:00"/>
        <d v="2001-01-11T00:00:00"/>
        <d v="2001-01-12T00:00:00"/>
        <d v="2001-01-16T00:00:00"/>
        <d v="2001-01-17T00:00:00"/>
        <d v="2001-01-18T00:00:00"/>
        <d v="2001-01-19T00:00:00"/>
        <d v="2001-01-22T00:00:00"/>
        <d v="2001-01-23T00:00:00"/>
        <d v="2001-01-24T00:00:00"/>
        <d v="2001-01-25T00:00:00"/>
        <d v="2001-01-26T00:00:00"/>
        <d v="2001-01-29T00:00:00"/>
        <d v="2001-01-30T00:00:00"/>
        <d v="2001-01-31T00:00:00"/>
        <d v="2001-02-01T00:00:00"/>
        <d v="2001-02-02T00:00:00"/>
        <d v="2001-02-05T00:00:00"/>
        <d v="2001-02-06T00:00:00"/>
        <d v="2001-02-07T00:00:00"/>
        <d v="2001-02-08T00:00:00"/>
        <d v="2001-02-09T00:00:00"/>
        <d v="2001-02-12T00:00:00"/>
        <d v="2001-02-13T00:00:00"/>
        <d v="2001-02-14T00:00:00"/>
        <d v="2001-02-15T00:00:00"/>
        <d v="2001-02-16T00:00:00"/>
        <d v="2001-02-20T00:00:00"/>
        <d v="2001-02-21T00:00:00"/>
        <d v="2001-02-22T00:00:00"/>
        <d v="2001-02-23T00:00:00"/>
        <d v="2001-02-26T00:00:00"/>
        <d v="2001-02-27T00:00:00"/>
        <d v="2001-02-28T00:00:00"/>
        <d v="2001-03-01T00:00:00"/>
        <d v="2001-03-02T00:00:00"/>
        <d v="2001-03-05T00:00:00"/>
        <d v="2001-03-06T00:00:00"/>
        <d v="2001-03-07T00:00:00"/>
        <d v="2001-03-08T00:00:00"/>
        <d v="2001-03-09T00:00:00"/>
        <d v="2001-03-12T00:00:00"/>
        <d v="2001-03-13T00:00:00"/>
        <d v="2001-03-14T00:00:00"/>
        <d v="2001-03-15T00:00:00"/>
        <d v="2001-03-16T00:00:00"/>
        <d v="2001-03-19T00:00:00"/>
        <d v="2001-03-20T00:00:00"/>
        <d v="2001-03-21T00:00:00"/>
        <d v="2001-03-22T00:00:00"/>
        <d v="2001-03-23T00:00:00"/>
        <d v="2001-03-26T00:00:00"/>
        <d v="2001-03-27T00:00:00"/>
        <d v="2001-03-28T00:00:00"/>
        <d v="2001-03-29T00:00:00"/>
        <d v="2001-03-30T00:00:00"/>
        <d v="2001-04-02T00:00:00"/>
        <d v="2001-04-03T00:00:00"/>
        <d v="2001-04-04T00:00:00"/>
        <d v="2001-04-05T00:00:00"/>
        <d v="2001-04-06T00:00:00"/>
        <d v="2001-04-09T00:00:00"/>
        <d v="2001-04-10T00:00:00"/>
        <d v="2001-04-11T00:00:00"/>
        <d v="2001-04-12T00:00:00"/>
        <d v="2001-04-16T00:00:00"/>
        <d v="2001-04-17T00:00:00"/>
        <d v="2001-04-18T00:00:00"/>
        <d v="2001-04-19T00:00:00"/>
        <d v="2001-04-20T00:00:00"/>
        <d v="2001-04-23T00:00:00"/>
        <d v="2001-04-24T00:00:00"/>
        <d v="2001-04-25T00:00:00"/>
        <d v="2001-04-26T00:00:00"/>
        <d v="2001-04-27T00:00:00"/>
        <d v="2001-04-30T00:00:00"/>
        <d v="2001-05-01T00:00:00"/>
        <d v="2001-05-02T00:00:00"/>
        <d v="2001-05-03T00:00:00"/>
        <d v="2001-05-04T00:00:00"/>
        <d v="2001-05-07T00:00:00"/>
        <d v="2001-05-08T00:00:00"/>
        <d v="2001-05-09T00:00:00"/>
        <d v="2001-05-10T00:00:00"/>
        <d v="2001-05-11T00:00:00"/>
        <d v="2001-05-14T00:00:00"/>
        <d v="2001-05-15T00:00:00"/>
        <d v="2001-05-16T00:00:00"/>
        <d v="2001-05-17T00:00:00"/>
        <d v="2001-05-18T00:00:00"/>
        <d v="2001-05-21T00:00:00"/>
        <d v="2001-05-22T00:00:00"/>
        <d v="2001-05-23T00:00:00"/>
        <d v="2001-05-24T00:00:00"/>
        <d v="2001-05-25T00:00:00"/>
        <d v="2001-05-29T00:00:00"/>
        <d v="2001-05-30T00:00:00"/>
        <d v="2001-05-31T00:00:00"/>
        <d v="2001-06-01T00:00:00"/>
        <d v="2001-06-04T00:00:00"/>
        <d v="2001-06-05T00:00:00"/>
        <d v="2001-06-06T00:00:00"/>
        <d v="2001-06-07T00:00:00"/>
        <d v="2001-06-08T00:00:00"/>
        <d v="2001-06-11T00:00:00"/>
        <d v="2001-06-12T00:00:00"/>
        <d v="2001-06-13T00:00:00"/>
        <d v="2001-06-14T00:00:00"/>
        <d v="2001-06-15T00:00:00"/>
        <d v="2001-06-18T00:00:00"/>
        <d v="2001-06-19T00:00:00"/>
        <d v="2001-06-20T00:00:00"/>
        <d v="2001-06-21T00:00:00"/>
        <d v="2001-06-22T00:00:00"/>
        <d v="2001-06-25T00:00:00"/>
        <d v="2001-06-26T00:00:00"/>
        <d v="2001-06-27T00:00:00"/>
        <d v="2001-06-28T00:00:00"/>
        <d v="2001-06-29T00:00:00"/>
        <d v="2001-07-02T00:00:00"/>
        <d v="2001-07-03T00:00:00"/>
        <d v="2001-07-05T00:00:00"/>
        <d v="2001-07-06T00:00:00"/>
        <d v="2001-07-09T00:00:00"/>
        <d v="2001-07-10T00:00:00"/>
        <d v="2001-07-11T00:00:00"/>
        <d v="2001-07-12T00:00:00"/>
        <d v="2001-07-13T00:00:00"/>
        <d v="2001-07-16T00:00:00"/>
        <d v="2001-07-17T00:00:00"/>
        <d v="2001-07-18T00:00:00"/>
        <d v="2001-07-19T00:00:00"/>
        <d v="2001-07-20T00:00:00"/>
        <d v="2001-07-23T00:00:00"/>
        <d v="2001-07-24T00:00:00"/>
        <d v="2001-07-25T00:00:00"/>
        <d v="2001-07-26T00:00:00"/>
        <d v="2001-07-27T00:00:00"/>
        <d v="2001-07-30T00:00:00"/>
        <d v="2001-07-31T00:00:00"/>
        <d v="2001-08-01T00:00:00"/>
        <d v="2001-08-02T00:00:00"/>
        <d v="2001-08-03T00:00:00"/>
        <d v="2001-08-06T00:00:00"/>
        <d v="2001-08-07T00:00:00"/>
        <d v="2001-08-08T00:00:00"/>
        <d v="2001-08-09T00:00:00"/>
        <d v="2001-08-10T00:00:00"/>
        <d v="2001-08-13T00:00:00"/>
        <d v="2001-08-14T00:00:00"/>
        <d v="2001-08-15T00:00:00"/>
        <d v="2001-08-16T00:00:00"/>
        <d v="2001-08-17T00:00:00"/>
        <d v="2001-08-20T00:00:00"/>
        <d v="2001-08-21T00:00:00"/>
        <d v="2001-08-22T00:00:00"/>
        <d v="2001-08-23T00:00:00"/>
        <d v="2001-08-24T00:00:00"/>
        <d v="2001-08-27T00:00:00"/>
        <d v="2001-08-28T00:00:00"/>
        <d v="2001-08-29T00:00:00"/>
        <d v="2001-08-30T00:00:00"/>
        <d v="2001-08-31T00:00:00"/>
        <d v="2001-09-04T00:00:00"/>
        <d v="2001-09-05T00:00:00"/>
        <d v="2001-09-06T00:00:00"/>
        <d v="2001-09-07T00:00:00"/>
        <d v="2001-09-10T00:00:00"/>
        <d v="2001-09-17T00:00:00"/>
        <d v="2001-09-18T00:00:00"/>
        <d v="2001-09-19T00:00:00"/>
        <d v="2001-09-20T00:00:00"/>
        <d v="2001-09-21T00:00:00"/>
        <d v="2001-09-24T00:00:00"/>
        <d v="2001-09-25T00:00:00"/>
        <d v="2001-09-26T00:00:00"/>
        <d v="2001-09-27T00:00:00"/>
        <d v="2001-09-28T00:00:00"/>
        <d v="2001-10-01T00:00:00"/>
        <d v="2001-10-02T00:00:00"/>
        <d v="2001-10-03T00:00:00"/>
        <d v="2001-10-04T00:00:00"/>
        <d v="2001-10-05T00:00:00"/>
        <d v="2001-10-08T00:00:00"/>
        <d v="2001-10-09T00:00:00"/>
        <d v="2001-10-10T00:00:00"/>
        <d v="2001-10-11T00:00:00"/>
        <d v="2001-10-12T00:00:00"/>
        <d v="2001-10-15T00:00:00"/>
        <d v="2001-10-16T00:00:00"/>
        <d v="2001-10-17T00:00:00"/>
        <d v="2001-10-18T00:00:00"/>
        <d v="2001-10-19T00:00:00"/>
        <d v="2001-10-22T00:00:00"/>
        <d v="2001-10-23T00:00:00"/>
        <d v="2001-10-24T00:00:00"/>
        <d v="2001-10-25T00:00:00"/>
        <d v="2001-10-26T00:00:00"/>
        <d v="2001-10-29T00:00:00"/>
        <d v="2001-10-30T00:00:00"/>
        <d v="2001-10-31T00:00:00"/>
        <d v="2001-11-01T00:00:00"/>
        <d v="2001-11-02T00:00:00"/>
        <d v="2001-11-05T00:00:00"/>
        <d v="2001-11-06T00:00:00"/>
        <d v="2001-11-07T00:00:00"/>
        <d v="2001-11-08T00:00:00"/>
        <d v="2001-11-09T00:00:00"/>
        <d v="2001-11-12T00:00:00"/>
        <d v="2001-11-13T00:00:00"/>
        <d v="2001-11-14T00:00:00"/>
        <d v="2001-11-15T00:00:00"/>
        <d v="2001-11-16T00:00:00"/>
        <d v="2001-11-19T00:00:00"/>
        <d v="2001-11-20T00:00:00"/>
        <d v="2001-11-21T00:00:00"/>
        <d v="2001-11-23T00:00:00"/>
        <d v="2001-11-26T00:00:00"/>
        <d v="2001-11-27T00:00:00"/>
        <d v="2001-11-28T00:00:00"/>
        <d v="2001-11-29T00:00:00"/>
        <d v="2001-11-30T00:00:00"/>
        <d v="2001-12-03T00:00:00"/>
        <d v="2001-12-04T00:00:00"/>
        <d v="2001-12-05T00:00:00"/>
        <d v="2001-12-06T00:00:00"/>
        <d v="2001-12-07T00:00:00"/>
        <d v="2001-12-10T00:00:00"/>
        <d v="2001-12-11T00:00:00"/>
        <d v="2001-12-12T00:00:00"/>
        <d v="2001-12-13T00:00:00"/>
        <d v="2001-12-14T00:00:00"/>
        <d v="2001-12-17T00:00:00"/>
        <d v="2001-12-18T00:00:00"/>
        <d v="2001-12-19T00:00:00"/>
        <d v="2001-12-20T00:00:00"/>
        <d v="2001-12-21T00:00:00"/>
        <d v="2001-12-24T00:00:00"/>
        <d v="2001-12-26T00:00:00"/>
        <d v="2001-12-27T00:00:00"/>
        <d v="2001-12-28T00:00:00"/>
        <d v="2001-12-31T00:00:00"/>
        <d v="2002-01-02T00:00:00"/>
        <d v="2002-01-03T00:00:00"/>
        <d v="2002-01-04T00:00:00"/>
        <d v="2002-01-07T00:00:00"/>
        <d v="2002-01-08T00:00:00"/>
        <d v="2002-01-09T00:00:00"/>
        <d v="2002-01-10T00:00:00"/>
        <d v="2002-01-11T00:00:00"/>
        <d v="2002-01-14T00:00:00"/>
        <d v="2002-01-15T00:00:00"/>
        <d v="2002-01-16T00:00:00"/>
        <d v="2002-01-17T00:00:00"/>
        <d v="2002-01-18T00:00:00"/>
        <d v="2002-01-22T00:00:00"/>
        <d v="2002-01-23T00:00:00"/>
        <d v="2002-01-24T00:00:00"/>
        <d v="2002-01-25T00:00:00"/>
        <d v="2002-01-28T00:00:00"/>
        <d v="2002-01-29T00:00:00"/>
        <d v="2002-01-30T00:00:00"/>
        <d v="2002-01-31T00:00:00"/>
        <d v="2002-02-01T00:00:00"/>
        <d v="2002-02-04T00:00:00"/>
        <d v="2002-02-05T00:00:00"/>
        <d v="2002-02-06T00:00:00"/>
        <d v="2002-02-07T00:00:00"/>
        <d v="2002-02-08T00:00:00"/>
        <d v="2002-02-11T00:00:00"/>
        <d v="2002-02-12T00:00:00"/>
        <d v="2002-02-13T00:00:00"/>
        <d v="2002-02-14T00:00:00"/>
        <d v="2002-02-15T00:00:00"/>
        <d v="2002-02-19T00:00:00"/>
        <d v="2002-02-20T00:00:00"/>
        <d v="2002-02-21T00:00:00"/>
        <d v="2002-02-22T00:00:00"/>
        <d v="2002-02-25T00:00:00"/>
        <d v="2002-02-26T00:00:00"/>
        <d v="2002-02-27T00:00:00"/>
        <d v="2002-02-28T00:00:00"/>
        <d v="2002-03-01T00:00:00"/>
        <d v="2002-03-04T00:00:00"/>
        <d v="2002-03-05T00:00:00"/>
        <d v="2002-03-06T00:00:00"/>
        <d v="2002-03-07T00:00:00"/>
        <d v="2002-03-08T00:00:00"/>
        <d v="2002-03-11T00:00:00"/>
        <d v="2002-03-12T00:00:00"/>
        <d v="2002-03-13T00:00:00"/>
        <d v="2002-03-14T00:00:00"/>
        <d v="2002-03-15T00:00:00"/>
        <d v="2002-03-18T00:00:00"/>
        <d v="2002-03-19T00:00:00"/>
        <d v="2002-03-20T00:00:00"/>
        <d v="2002-03-21T00:00:00"/>
        <d v="2002-03-22T00:00:00"/>
        <d v="2002-03-25T00:00:00"/>
        <d v="2002-03-26T00:00:00"/>
        <d v="2002-03-27T00:00:00"/>
        <d v="2002-03-28T00:00:00"/>
        <d v="2002-04-01T00:00:00"/>
        <d v="2002-04-02T00:00:00"/>
        <d v="2002-04-03T00:00:00"/>
        <d v="2002-04-04T00:00:00"/>
        <d v="2002-04-05T00:00:00"/>
        <d v="2002-04-08T00:00:00"/>
        <d v="2002-04-09T00:00:00"/>
        <d v="2002-04-10T00:00:00"/>
        <d v="2002-04-11T00:00:00"/>
        <d v="2002-04-12T00:00:00"/>
        <d v="2002-04-15T00:00:00"/>
        <d v="2002-04-16T00:00:00"/>
        <d v="2002-04-17T00:00:00"/>
        <d v="2002-04-18T00:00:00"/>
        <d v="2002-04-19T00:00:00"/>
        <d v="2002-04-22T00:00:00"/>
        <d v="2002-04-23T00:00:00"/>
        <d v="2002-04-24T00:00:00"/>
        <d v="2002-04-25T00:00:00"/>
        <d v="2002-04-26T00:00:00"/>
        <d v="2002-04-29T00:00:00"/>
        <d v="2002-04-30T00:00:00"/>
        <d v="2002-05-01T00:00:00"/>
        <d v="2002-05-02T00:00:00"/>
        <d v="2002-05-03T00:00:00"/>
        <d v="2002-05-06T00:00:00"/>
        <d v="2002-05-07T00:00:00"/>
        <d v="2002-05-08T00:00:00"/>
        <d v="2002-05-09T00:00:00"/>
        <d v="2002-05-10T00:00:00"/>
        <d v="2002-05-13T00:00:00"/>
        <d v="2002-05-14T00:00:00"/>
        <d v="2002-05-15T00:00:00"/>
        <d v="2002-05-16T00:00:00"/>
        <d v="2002-05-17T00:00:00"/>
        <d v="2002-05-20T00:00:00"/>
        <d v="2002-05-21T00:00:00"/>
        <d v="2002-05-22T00:00:00"/>
        <d v="2002-05-23T00:00:00"/>
        <d v="2002-05-24T00:00:00"/>
        <d v="2002-05-28T00:00:00"/>
        <d v="2002-05-29T00:00:00"/>
        <d v="2002-05-30T00:00:00"/>
        <d v="2002-05-31T00:00:00"/>
        <d v="2002-06-03T00:00:00"/>
        <d v="2002-06-04T00:00:00"/>
        <d v="2002-06-05T00:00:00"/>
        <d v="2002-06-06T00:00:00"/>
        <d v="2002-06-07T00:00:00"/>
        <d v="2002-06-10T00:00:00"/>
        <d v="2002-06-11T00:00:00"/>
        <d v="2002-06-12T00:00:00"/>
        <d v="2002-06-13T00:00:00"/>
        <d v="2002-06-14T00:00:00"/>
        <d v="2002-06-17T00:00:00"/>
        <d v="2002-06-18T00:00:00"/>
        <d v="2002-06-19T00:00:00"/>
        <d v="2002-06-20T00:00:00"/>
        <d v="2002-06-21T00:00:00"/>
        <d v="2002-06-24T00:00:00"/>
        <d v="2002-06-25T00:00:00"/>
        <d v="2002-06-26T00:00:00"/>
        <d v="2002-06-27T00:00:00"/>
        <d v="2002-06-28T00:00:00"/>
        <d v="2002-07-01T00:00:00"/>
        <d v="2002-07-02T00:00:00"/>
        <d v="2002-07-03T00:00:00"/>
        <d v="2002-07-05T00:00:00"/>
        <d v="2002-07-08T00:00:00"/>
        <d v="2002-07-09T00:00:00"/>
        <d v="2002-07-10T00:00:00"/>
        <d v="2002-07-11T00:00:00"/>
        <d v="2002-07-12T00:00:00"/>
        <d v="2002-07-15T00:00:00"/>
        <d v="2002-07-16T00:00:00"/>
        <d v="2002-07-17T00:00:00"/>
        <d v="2002-07-18T00:00:00"/>
        <d v="2002-07-19T00:00:00"/>
        <d v="2002-07-22T00:00:00"/>
        <d v="2002-07-23T00:00:00"/>
        <d v="2002-07-24T00:00:00"/>
        <d v="2002-07-25T00:00:00"/>
        <d v="2002-07-26T00:00:00"/>
        <d v="2002-07-29T00:00:00"/>
        <d v="2002-07-30T00:00:00"/>
        <d v="2002-07-31T00:00:00"/>
        <d v="2002-08-01T00:00:00"/>
        <d v="2002-08-02T00:00:00"/>
        <d v="2002-08-05T00:00:00"/>
        <d v="2002-08-06T00:00:00"/>
        <d v="2002-08-07T00:00:00"/>
        <d v="2002-08-08T00:00:00"/>
        <d v="2002-08-09T00:00:00"/>
        <d v="2002-08-12T00:00:00"/>
        <d v="2002-08-13T00:00:00"/>
        <d v="2002-08-14T00:00:00"/>
        <d v="2002-08-15T00:00:00"/>
        <d v="2002-08-16T00:00:00"/>
        <d v="2002-08-19T00:00:00"/>
        <d v="2002-08-20T00:00:00"/>
        <d v="2002-08-21T00:00:00"/>
        <d v="2002-08-22T00:00:00"/>
        <d v="2002-08-23T00:00:00"/>
        <d v="2002-08-26T00:00:00"/>
        <d v="2002-08-27T00:00:00"/>
        <d v="2002-08-28T00:00:00"/>
        <d v="2002-08-29T00:00:00"/>
        <d v="2002-08-30T00:00:00"/>
        <d v="2002-09-03T00:00:00"/>
        <d v="2002-09-04T00:00:00"/>
        <d v="2002-09-05T00:00:00"/>
        <d v="2002-09-06T00:00:00"/>
        <d v="2002-09-09T00:00:00"/>
        <d v="2002-09-10T00:00:00"/>
        <d v="2002-09-11T00:00:00"/>
        <d v="2002-09-12T00:00:00"/>
        <d v="2002-09-13T00:00:00"/>
        <d v="2002-09-16T00:00:00"/>
        <d v="2002-09-17T00:00:00"/>
        <d v="2002-09-18T00:00:00"/>
        <d v="2002-09-19T00:00:00"/>
        <d v="2002-09-20T00:00:00"/>
        <d v="2002-09-23T00:00:00"/>
        <d v="2002-09-24T00:00:00"/>
        <d v="2002-09-25T00:00:00"/>
        <d v="2002-09-26T00:00:00"/>
        <d v="2002-09-27T00:00:00"/>
        <d v="2002-09-30T00:00:00"/>
        <d v="2002-10-01T00:00:00"/>
        <d v="2002-10-02T00:00:00"/>
        <d v="2002-10-03T00:00:00"/>
        <d v="2002-10-04T00:00:00"/>
        <d v="2002-10-07T00:00:00"/>
        <d v="2002-10-08T00:00:00"/>
        <d v="2002-10-09T00:00:00"/>
        <d v="2002-10-10T00:00:00"/>
        <d v="2002-10-11T00:00:00"/>
        <d v="2002-10-14T00:00:00"/>
        <d v="2002-10-15T00:00:00"/>
        <d v="2002-10-16T00:00:00"/>
        <d v="2002-10-17T00:00:00"/>
        <d v="2002-10-18T00:00:00"/>
        <d v="2002-10-21T00:00:00"/>
        <d v="2002-10-22T00:00:00"/>
        <d v="2002-10-23T00:00:00"/>
        <d v="2002-10-24T00:00:00"/>
        <d v="2002-10-25T00:00:00"/>
        <d v="2002-10-28T00:00:00"/>
        <d v="2002-10-29T00:00:00"/>
        <d v="2002-10-30T00:00:00"/>
        <d v="2002-10-31T00:00:00"/>
        <d v="2002-11-01T00:00:00"/>
        <d v="2002-11-04T00:00:00"/>
        <d v="2002-11-05T00:00:00"/>
        <d v="2002-11-06T00:00:00"/>
        <d v="2002-11-07T00:00:00"/>
        <d v="2002-11-08T00:00:00"/>
        <d v="2002-11-11T00:00:00"/>
        <d v="2002-11-12T00:00:00"/>
        <d v="2002-11-13T00:00:00"/>
        <d v="2002-11-14T00:00:00"/>
        <d v="2002-11-15T00:00:00"/>
        <d v="2002-11-18T00:00:00"/>
        <d v="2002-11-19T00:00:00"/>
        <d v="2002-11-20T00:00:00"/>
        <d v="2002-11-21T00:00:00"/>
        <d v="2002-11-22T00:00:00"/>
        <d v="2002-11-25T00:00:00"/>
        <d v="2002-11-26T00:00:00"/>
        <d v="2002-11-27T00:00:00"/>
        <d v="2002-11-29T00:00:00"/>
        <d v="2002-12-02T00:00:00"/>
        <d v="2002-12-03T00:00:00"/>
        <d v="2002-12-04T00:00:00"/>
        <d v="2002-12-05T00:00:00"/>
        <d v="2002-12-06T00:00:00"/>
        <d v="2002-12-09T00:00:00"/>
        <d v="2002-12-10T00:00:00"/>
        <d v="2002-12-11T00:00:00"/>
        <d v="2002-12-12T00:00:00"/>
        <d v="2002-12-13T00:00:00"/>
        <d v="2002-12-16T00:00:00"/>
        <d v="2002-12-17T00:00:00"/>
        <d v="2002-12-18T00:00:00"/>
        <d v="2002-12-19T00:00:00"/>
        <d v="2002-12-20T00:00:00"/>
        <d v="2002-12-23T00:00:00"/>
        <d v="2002-12-24T00:00:00"/>
        <d v="2002-12-26T00:00:00"/>
        <d v="2002-12-27T00:00:00"/>
        <d v="2002-12-30T00:00:00"/>
        <d v="2002-12-31T00:00:00"/>
        <d v="2003-01-02T00:00:00"/>
        <d v="2003-01-03T00:00:00"/>
        <d v="2003-01-06T00:00:00"/>
        <d v="2003-01-07T00:00:00"/>
        <d v="2003-01-08T00:00:00"/>
        <d v="2003-01-09T00:00:00"/>
        <d v="2003-01-10T00:00:00"/>
        <d v="2003-01-13T00:00:00"/>
        <d v="2003-01-14T00:00:00"/>
        <d v="2003-01-15T00:00:00"/>
        <d v="2003-01-16T00:00:00"/>
        <d v="2003-01-17T00:00:00"/>
        <d v="2003-01-21T00:00:00"/>
        <d v="2003-01-22T00:00:00"/>
        <d v="2003-01-23T00:00:00"/>
        <d v="2003-01-24T00:00:00"/>
        <d v="2003-01-27T00:00:00"/>
        <d v="2003-01-28T00:00:00"/>
        <d v="2003-01-29T00:00:00"/>
        <d v="2003-01-30T00:00:00"/>
        <d v="2003-01-31T00:00:00"/>
        <d v="2003-02-03T00:00:00"/>
        <d v="2003-02-04T00:00:00"/>
        <d v="2003-02-05T00:00:00"/>
        <d v="2003-02-06T00:00:00"/>
        <d v="2003-02-07T00:00:00"/>
        <d v="2003-02-10T00:00:00"/>
        <d v="2003-02-11T00:00:00"/>
        <d v="2003-02-12T00:00:00"/>
        <d v="2003-02-13T00:00:00"/>
        <d v="2003-02-14T00:00:00"/>
        <d v="2003-02-18T00:00:00"/>
        <d v="2003-02-19T00:00:00"/>
        <d v="2003-02-20T00:00:00"/>
        <d v="2003-02-21T00:00:00"/>
        <d v="2003-02-24T00:00:00"/>
        <d v="2003-02-25T00:00:00"/>
        <d v="2003-02-26T00:00:00"/>
        <d v="2003-02-27T00:00:00"/>
        <d v="2003-02-28T00:00:00"/>
        <d v="2003-03-03T00:00:00"/>
        <d v="2003-03-04T00:00:00"/>
        <d v="2003-03-05T00:00:00"/>
        <d v="2003-03-06T00:00:00"/>
        <d v="2003-03-07T00:00:00"/>
        <d v="2003-03-10T00:00:00"/>
        <d v="2003-03-11T00:00:00"/>
        <d v="2003-03-12T00:00:00"/>
        <d v="2003-03-13T00:00:00"/>
        <d v="2003-03-14T00:00:00"/>
        <d v="2003-03-17T00:00:00"/>
        <d v="2003-03-18T00:00:00"/>
        <d v="2003-03-19T00:00:00"/>
        <d v="2003-03-20T00:00:00"/>
        <d v="2003-03-21T00:00:00"/>
        <d v="2003-03-24T00:00:00"/>
        <d v="2003-03-25T00:00:00"/>
        <d v="2003-03-26T00:00:00"/>
        <d v="2003-03-27T00:00:00"/>
        <d v="2003-03-28T00:00:00"/>
        <d v="2003-03-31T00:00:00"/>
        <d v="2003-04-01T00:00:00"/>
        <d v="2003-04-02T00:00:00"/>
        <d v="2003-04-03T00:00:00"/>
        <d v="2003-04-04T00:00:00"/>
        <d v="2003-04-07T00:00:00"/>
        <d v="2003-04-08T00:00:00"/>
        <d v="2003-04-09T00:00:00"/>
        <d v="2003-04-10T00:00:00"/>
        <d v="2003-04-11T00:00:00"/>
        <d v="2003-04-14T00:00:00"/>
        <d v="2003-04-15T00:00:00"/>
        <d v="2003-04-16T00:00:00"/>
        <d v="2003-04-17T00:00:00"/>
        <d v="2003-04-21T00:00:00"/>
        <d v="2003-04-22T00:00:00"/>
        <d v="2003-04-23T00:00:00"/>
        <d v="2003-04-24T00:00:00"/>
        <d v="2003-04-25T00:00:00"/>
        <d v="2003-04-28T00:00:00"/>
        <d v="2003-04-29T00:00:00"/>
        <d v="2003-04-30T00:00:00"/>
        <d v="2003-05-01T00:00:00"/>
        <d v="2003-05-02T00:00:00"/>
        <d v="2003-05-05T00:00:00"/>
        <d v="2003-05-06T00:00:00"/>
        <d v="2003-05-07T00:00:00"/>
        <d v="2003-05-08T00:00:00"/>
        <d v="2003-05-09T00:00:00"/>
        <d v="2003-05-12T00:00:00"/>
        <d v="2003-05-13T00:00:00"/>
        <d v="2003-05-14T00:00:00"/>
        <d v="2003-05-15T00:00:00"/>
        <d v="2003-05-16T00:00:00"/>
        <d v="2003-05-19T00:00:00"/>
        <d v="2003-05-20T00:00:00"/>
        <d v="2003-05-21T00:00:00"/>
        <d v="2003-05-22T00:00:00"/>
        <d v="2003-05-23T00:00:00"/>
        <d v="2003-05-27T00:00:00"/>
        <d v="2003-05-28T00:00:00"/>
        <d v="2003-05-29T00:00:00"/>
        <d v="2003-05-30T00:00:00"/>
        <d v="2003-06-02T00:00:00"/>
        <d v="2003-06-03T00:00:00"/>
        <d v="2003-06-04T00:00:00"/>
        <d v="2003-06-05T00:00:00"/>
        <d v="2003-06-06T00:00:00"/>
        <d v="2003-06-09T00:00:00"/>
        <d v="2003-06-10T00:00:00"/>
        <d v="2003-06-11T00:00:00"/>
        <d v="2003-06-12T00:00:00"/>
        <d v="2003-06-13T00:00:00"/>
        <d v="2003-06-16T00:00:00"/>
        <d v="2003-06-17T00:00:00"/>
        <d v="2003-06-18T00:00:00"/>
        <d v="2003-06-19T00:00:00"/>
        <d v="2003-06-20T00:00:00"/>
        <d v="2003-06-23T00:00:00"/>
        <d v="2003-06-24T00:00:00"/>
        <d v="2003-06-25T00:00:00"/>
        <d v="2003-06-26T00:00:00"/>
        <d v="2003-06-27T00:00:00"/>
        <d v="2003-06-30T00:00:00"/>
        <d v="2003-07-01T00:00:00"/>
        <d v="2003-07-02T00:00:00"/>
        <d v="2003-07-03T00:00:00"/>
        <d v="2003-07-07T00:00:00"/>
        <d v="2003-07-08T00:00:00"/>
        <d v="2003-07-09T00:00:00"/>
        <d v="2003-07-10T00:00:00"/>
        <d v="2003-07-11T00:00:00"/>
        <d v="2003-07-14T00:00:00"/>
        <d v="2003-07-15T00:00:00"/>
        <d v="2003-07-16T00:00:00"/>
        <d v="2003-07-17T00:00:00"/>
        <d v="2003-07-18T00:00:00"/>
        <d v="2003-07-21T00:00:00"/>
        <d v="2003-07-22T00:00:00"/>
        <d v="2003-07-23T00:00:00"/>
        <d v="2003-07-24T00:00:00"/>
        <d v="2003-07-25T00:00:00"/>
        <d v="2003-07-28T00:00:00"/>
        <d v="2003-07-29T00:00:00"/>
        <d v="2003-07-30T00:00:00"/>
        <d v="2003-07-31T00:00:00"/>
        <d v="2003-08-01T00:00:00"/>
        <d v="2003-08-04T00:00:00"/>
        <d v="2003-08-05T00:00:00"/>
        <d v="2003-08-06T00:00:00"/>
        <d v="2003-08-07T00:00:00"/>
        <d v="2003-08-08T00:00:00"/>
        <d v="2003-08-11T00:00:00"/>
        <d v="2003-08-12T00:00:00"/>
        <d v="2003-08-13T00:00:00"/>
        <d v="2003-08-14T00:00:00"/>
        <d v="2003-08-15T00:00:00"/>
        <d v="2003-08-18T00:00:00"/>
        <d v="2003-08-19T00:00:00"/>
        <d v="2003-08-20T00:00:00"/>
        <d v="2003-08-21T00:00:00"/>
        <d v="2003-08-22T00:00:00"/>
        <d v="2003-08-25T00:00:00"/>
        <d v="2003-08-26T00:00:00"/>
        <d v="2003-08-27T00:00:00"/>
        <d v="2003-08-28T00:00:00"/>
        <d v="2003-08-29T00:00:00"/>
        <d v="2003-09-02T00:00:00"/>
        <d v="2003-09-03T00:00:00"/>
        <d v="2003-09-04T00:00:00"/>
        <d v="2003-09-05T00:00:00"/>
        <d v="2003-09-08T00:00:00"/>
        <d v="2003-09-09T00:00:00"/>
        <d v="2003-09-10T00:00:00"/>
        <d v="2003-09-11T00:00:00"/>
        <d v="2003-09-12T00:00:00"/>
        <d v="2003-09-15T00:00:00"/>
        <d v="2003-09-16T00:00:00"/>
        <d v="2003-09-17T00:00:00"/>
        <d v="2003-09-18T00:00:00"/>
        <d v="2003-09-19T00:00:00"/>
        <d v="2003-09-22T00:00:00"/>
        <d v="2003-09-23T00:00:00"/>
        <d v="2003-09-24T00:00:00"/>
        <d v="2003-09-25T00:00:00"/>
        <d v="2003-09-26T00:00:00"/>
        <d v="2003-09-29T00:00:00"/>
        <d v="2003-09-30T00:00:00"/>
        <d v="2003-10-01T00:00:00"/>
        <d v="2003-10-02T00:00:00"/>
        <d v="2003-10-03T00:00:00"/>
        <d v="2003-10-06T00:00:00"/>
        <d v="2003-10-07T00:00:00"/>
        <d v="2003-10-08T00:00:00"/>
        <d v="2003-10-09T00:00:00"/>
        <d v="2003-10-10T00:00:00"/>
        <d v="2003-10-13T00:00:00"/>
        <d v="2003-10-14T00:00:00"/>
        <d v="2003-10-15T00:00:00"/>
        <d v="2003-10-16T00:00:00"/>
        <d v="2003-10-17T00:00:00"/>
        <d v="2003-10-20T00:00:00"/>
        <d v="2003-10-21T00:00:00"/>
        <d v="2003-10-22T00:00:00"/>
        <d v="2003-10-23T00:00:00"/>
        <d v="2003-10-24T00:00:00"/>
        <d v="2003-10-27T00:00:00"/>
        <d v="2003-10-28T00:00:00"/>
        <d v="2003-10-29T00:00:00"/>
        <d v="2003-10-30T00:00:00"/>
        <d v="2003-10-31T00:00:00"/>
        <d v="2003-11-03T00:00:00"/>
        <d v="2003-11-04T00:00:00"/>
        <d v="2003-11-05T00:00:00"/>
        <d v="2003-11-06T00:00:00"/>
        <d v="2003-11-07T00:00:00"/>
        <d v="2003-11-10T00:00:00"/>
        <d v="2003-11-11T00:00:00"/>
        <d v="2003-11-12T00:00:00"/>
        <d v="2003-11-13T00:00:00"/>
        <d v="2003-11-14T00:00:00"/>
        <d v="2003-11-17T00:00:00"/>
        <d v="2003-11-18T00:00:00"/>
        <d v="2003-11-19T00:00:00"/>
        <d v="2003-11-20T00:00:00"/>
        <d v="2003-11-21T00:00:00"/>
        <d v="2003-11-24T00:00:00"/>
        <d v="2003-11-25T00:00:00"/>
        <d v="2003-11-26T00:00:00"/>
        <d v="2003-11-28T00:00:00"/>
        <d v="2003-12-01T00:00:00"/>
        <d v="2003-12-02T00:00:00"/>
        <d v="2003-12-03T00:00:00"/>
        <d v="2003-12-04T00:00:00"/>
        <d v="2003-12-05T00:00:00"/>
        <d v="2003-12-08T00:00:00"/>
        <d v="2003-12-09T00:00:00"/>
        <d v="2003-12-10T00:00:00"/>
        <d v="2003-12-11T00:00:00"/>
        <d v="2003-12-12T00:00:00"/>
        <d v="2003-12-15T00:00:00"/>
        <d v="2003-12-16T00:00:00"/>
        <d v="2003-12-17T00:00:00"/>
        <d v="2003-12-18T00:00:00"/>
        <d v="2003-12-19T00:00:00"/>
        <d v="2003-12-22T00:00:00"/>
        <d v="2003-12-23T00:00:00"/>
        <d v="2003-12-24T00:00:00"/>
        <d v="2003-12-26T00:00:00"/>
        <d v="2003-12-29T00:00:00"/>
        <d v="2003-12-30T00:00:00"/>
        <d v="2003-12-31T00:00:00"/>
        <d v="2004-01-02T00:00:00"/>
        <d v="2004-01-05T00:00:00"/>
        <d v="2004-01-06T00:00:00"/>
        <d v="2004-01-07T00:00:00"/>
        <d v="2004-01-08T00:00:00"/>
        <d v="2004-01-09T00:00:00"/>
        <d v="2004-01-12T00:00:00"/>
        <d v="2004-01-13T00:00:00"/>
        <d v="2004-01-14T00:00:00"/>
        <d v="2004-01-15T00:00:00"/>
        <d v="2004-01-16T00:00:00"/>
        <d v="2004-01-20T00:00:00"/>
        <d v="2004-01-21T00:00:00"/>
        <d v="2004-01-22T00:00:00"/>
        <d v="2004-01-23T00:00:00"/>
        <d v="2004-01-26T00:00:00"/>
        <d v="2004-01-27T00:00:00"/>
        <d v="2004-01-28T00:00:00"/>
        <d v="2004-01-29T00:00:00"/>
        <d v="2004-01-30T00:00:00"/>
        <d v="2004-02-02T00:00:00"/>
        <d v="2004-02-03T00:00:00"/>
        <d v="2004-02-04T00:00:00"/>
        <d v="2004-02-05T00:00:00"/>
        <d v="2004-02-06T00:00:00"/>
        <d v="2004-02-09T00:00:00"/>
        <d v="2004-02-10T00:00:00"/>
        <d v="2004-02-11T00:00:00"/>
        <d v="2004-02-12T00:00:00"/>
        <d v="2004-02-13T00:00:00"/>
        <d v="2004-02-17T00:00:00"/>
        <d v="2004-02-18T00:00:00"/>
        <d v="2004-02-19T00:00:00"/>
        <d v="2004-02-20T00:00:00"/>
        <d v="2004-02-23T00:00:00"/>
        <d v="2004-02-24T00:00:00"/>
        <d v="2004-02-25T00:00:00"/>
        <d v="2004-02-26T00:00:00"/>
        <d v="2004-02-27T00:00:00"/>
        <d v="2004-03-01T00:00:00"/>
        <d v="2004-03-02T00:00:00"/>
        <d v="2004-03-03T00:00:00"/>
        <d v="2004-03-04T00:00:00"/>
        <d v="2004-03-05T00:00:00"/>
        <d v="2004-03-08T00:00:00"/>
        <d v="2004-03-09T00:00:00"/>
        <d v="2004-03-10T00:00:00"/>
        <d v="2004-03-11T00:00:00"/>
        <d v="2004-03-12T00:00:00"/>
        <d v="2004-03-15T00:00:00"/>
        <d v="2004-03-16T00:00:00"/>
        <d v="2004-03-17T00:00:00"/>
        <d v="2004-03-18T00:00:00"/>
        <d v="2004-03-19T00:00:00"/>
        <d v="2004-03-22T00:00:00"/>
        <d v="2004-03-23T00:00:00"/>
        <d v="2004-03-24T00:00:00"/>
        <d v="2004-03-25T00:00:00"/>
        <d v="2004-03-26T00:00:00"/>
        <d v="2004-03-29T00:00:00"/>
        <d v="2004-03-30T00:00:00"/>
        <d v="2004-03-31T00:00:00"/>
        <d v="2004-04-01T00:00:00"/>
        <d v="2004-04-02T00:00:00"/>
        <d v="2004-04-05T00:00:00"/>
        <d v="2004-04-06T00:00:00"/>
        <d v="2004-04-07T00:00:00"/>
        <d v="2004-04-08T00:00:00"/>
        <d v="2004-04-12T00:00:00"/>
        <d v="2004-04-13T00:00:00"/>
        <d v="2004-04-14T00:00:00"/>
        <d v="2004-04-15T00:00:00"/>
        <d v="2004-04-16T00:00:00"/>
        <d v="2004-04-19T00:00:00"/>
        <d v="2004-04-20T00:00:00"/>
        <d v="2004-04-21T00:00:00"/>
        <d v="2004-04-22T00:00:00"/>
        <d v="2004-04-23T00:00:00"/>
        <d v="2004-04-26T00:00:00"/>
        <d v="2004-04-27T00:00:00"/>
        <d v="2004-04-28T00:00:00"/>
        <d v="2004-04-29T00:00:00"/>
        <d v="2004-04-30T00:00:00"/>
        <d v="2004-05-03T00:00:00"/>
        <d v="2004-05-04T00:00:00"/>
        <d v="2004-05-05T00:00:00"/>
        <d v="2004-05-06T00:00:00"/>
        <d v="2004-05-07T00:00:00"/>
        <d v="2004-05-10T00:00:00"/>
        <d v="2004-05-11T00:00:00"/>
        <d v="2004-05-12T00:00:00"/>
        <d v="2004-05-13T00:00:00"/>
        <d v="2004-05-14T00:00:00"/>
        <d v="2004-05-17T00:00:00"/>
        <d v="2004-05-18T00:00:00"/>
        <d v="2004-05-19T00:00:00"/>
        <d v="2004-05-20T00:00:00"/>
        <d v="2004-05-21T00:00:00"/>
        <d v="2004-05-24T00:00:00"/>
        <d v="2004-05-25T00:00:00"/>
        <d v="2004-05-26T00:00:00"/>
        <d v="2004-05-27T00:00:00"/>
        <d v="2004-05-28T00:00:00"/>
        <d v="2004-06-01T00:00:00"/>
        <d v="2004-06-02T00:00:00"/>
        <d v="2004-06-03T00:00:00"/>
        <d v="2004-06-04T00:00:00"/>
        <d v="2004-06-07T00:00:00"/>
        <d v="2004-06-08T00:00:00"/>
        <d v="2004-06-09T00:00:00"/>
        <d v="2004-06-10T00:00:00"/>
        <d v="2004-06-14T00:00:00"/>
        <d v="2004-06-15T00:00:00"/>
        <d v="2004-06-16T00:00:00"/>
        <d v="2004-06-17T00:00:00"/>
        <d v="2004-06-18T00:00:00"/>
        <d v="2004-06-21T00:00:00"/>
        <d v="2004-06-22T00:00:00"/>
        <d v="2004-06-23T00:00:00"/>
        <d v="2004-06-24T00:00:00"/>
        <d v="2004-06-25T00:00:00"/>
        <d v="2004-06-28T00:00:00"/>
        <d v="2004-06-29T00:00:00"/>
        <d v="2004-06-30T00:00:00"/>
        <d v="2004-07-01T00:00:00"/>
        <d v="2004-07-02T00:00:00"/>
        <d v="2004-07-06T00:00:00"/>
        <d v="2004-07-07T00:00:00"/>
        <d v="2004-07-08T00:00:00"/>
        <d v="2004-07-09T00:00:00"/>
        <d v="2004-07-12T00:00:00"/>
        <d v="2004-07-13T00:00:00"/>
        <d v="2004-07-14T00:00:00"/>
        <d v="2004-07-15T00:00:00"/>
        <d v="2004-07-16T00:00:00"/>
        <d v="2004-07-19T00:00:00"/>
        <d v="2004-07-20T00:00:00"/>
        <d v="2004-07-21T00:00:00"/>
        <d v="2004-07-22T00:00:00"/>
        <d v="2004-07-23T00:00:00"/>
        <d v="2004-07-26T00:00:00"/>
        <d v="2004-07-27T00:00:00"/>
        <d v="2004-07-28T00:00:00"/>
        <d v="2004-07-29T00:00:00"/>
        <d v="2004-07-30T00:00:00"/>
        <d v="2004-08-02T00:00:00"/>
        <d v="2004-08-03T00:00:00"/>
        <d v="2004-08-04T00:00:00"/>
        <d v="2004-08-05T00:00:00"/>
        <d v="2004-08-06T00:00:00"/>
        <d v="2004-08-09T00:00:00"/>
        <d v="2004-08-10T00:00:00"/>
        <d v="2004-08-11T00:00:00"/>
        <d v="2004-08-12T00:00:00"/>
        <d v="2004-08-13T00:00:00"/>
        <d v="2004-08-16T00:00:00"/>
        <d v="2004-08-17T00:00:00"/>
        <d v="2004-08-18T00:00:00"/>
        <d v="2004-08-19T00:00:00"/>
        <d v="2004-08-20T00:00:00"/>
        <d v="2004-08-23T00:00:00"/>
        <d v="2004-08-24T00:00:00"/>
        <d v="2004-08-25T00:00:00"/>
        <d v="2004-08-26T00:00:00"/>
        <d v="2004-08-27T00:00:00"/>
        <d v="2004-08-30T00:00:00"/>
        <d v="2004-08-31T00:00:00"/>
        <d v="2004-09-01T00:00:00"/>
        <d v="2004-09-02T00:00:00"/>
        <d v="2004-09-03T00:00:00"/>
        <d v="2004-09-07T00:00:00"/>
        <d v="2004-09-08T00:00:00"/>
        <d v="2004-09-09T00:00:00"/>
        <d v="2004-09-10T00:00:00"/>
        <d v="2004-09-13T00:00:00"/>
        <d v="2004-09-14T00:00:00"/>
        <d v="2004-09-15T00:00:00"/>
        <d v="2004-09-16T00:00:00"/>
        <d v="2004-09-17T00:00:00"/>
        <d v="2004-09-20T00:00:00"/>
        <d v="2004-09-21T00:00:00"/>
        <d v="2004-09-22T00:00:00"/>
        <d v="2004-09-23T00:00:00"/>
        <d v="2004-09-24T00:00:00"/>
        <d v="2004-09-27T00:00:00"/>
        <d v="2004-09-28T00:00:00"/>
        <d v="2004-09-29T00:00:00"/>
        <d v="2004-09-30T00:00:00"/>
        <d v="2004-10-01T00:00:00"/>
        <d v="2004-10-04T00:00:00"/>
        <d v="2004-10-05T00:00:00"/>
        <d v="2004-10-06T00:00:00"/>
        <d v="2004-10-07T00:00:00"/>
        <d v="2004-10-08T00:00:00"/>
        <d v="2004-10-11T00:00:00"/>
        <d v="2004-10-12T00:00:00"/>
        <d v="2004-10-13T00:00:00"/>
        <d v="2004-10-14T00:00:00"/>
        <d v="2004-10-15T00:00:00"/>
        <d v="2004-10-18T00:00:00"/>
        <d v="2004-10-19T00:00:00"/>
        <d v="2004-10-20T00:00:00"/>
        <d v="2004-10-21T00:00:00"/>
        <d v="2004-10-22T00:00:00"/>
        <d v="2004-10-25T00:00:00"/>
        <d v="2004-10-26T00:00:00"/>
        <d v="2004-10-27T00:00:00"/>
        <d v="2004-10-28T00:00:00"/>
        <d v="2004-10-29T00:00:00"/>
        <d v="2004-11-01T00:00:00"/>
        <d v="2004-11-02T00:00:00"/>
        <d v="2004-11-03T00:00:00"/>
        <d v="2004-11-04T00:00:00"/>
        <d v="2004-11-05T00:00:00"/>
        <d v="2004-11-08T00:00:00"/>
        <d v="2004-11-09T00:00:00"/>
        <d v="2004-11-10T00:00:00"/>
        <d v="2004-11-11T00:00:00"/>
        <d v="2004-11-12T00:00:00"/>
        <d v="2004-11-15T00:00:00"/>
        <d v="2004-11-16T00:00:00"/>
        <d v="2004-11-17T00:00:00"/>
        <d v="2004-11-18T00:00:00"/>
        <d v="2004-11-19T00:00:00"/>
        <d v="2004-11-22T00:00:00"/>
        <d v="2004-11-23T00:00:00"/>
        <d v="2004-11-24T00:00:00"/>
        <d v="2004-11-26T00:00:00"/>
        <d v="2004-11-29T00:00:00"/>
        <d v="2004-11-30T00:00:00"/>
        <d v="2004-12-01T00:00:00"/>
        <d v="2004-12-02T00:00:00"/>
        <d v="2004-12-03T00:00:00"/>
        <d v="2004-12-06T00:00:00"/>
        <d v="2004-12-07T00:00:00"/>
        <d v="2004-12-08T00:00:00"/>
        <d v="2004-12-09T00:00:00"/>
        <d v="2004-12-10T00:00:00"/>
        <d v="2004-12-13T00:00:00"/>
        <d v="2004-12-14T00:00:00"/>
        <d v="2004-12-15T00:00:00"/>
        <d v="2004-12-16T00:00:00"/>
        <d v="2004-12-17T00:00:00"/>
        <d v="2004-12-20T00:00:00"/>
        <d v="2004-12-21T00:00:00"/>
        <d v="2004-12-22T00:00:00"/>
        <d v="2004-12-23T00:00:00"/>
        <d v="2004-12-27T00:00:00"/>
        <d v="2004-12-28T00:00:00"/>
        <d v="2004-12-29T00:00:00"/>
        <d v="2004-12-30T00:00:00"/>
        <d v="2004-12-31T00:00:00"/>
        <d v="2005-01-03T00:00:00"/>
        <d v="2005-01-04T00:00:00"/>
        <d v="2005-01-05T00:00:00"/>
        <d v="2005-01-06T00:00:00"/>
        <d v="2005-01-07T00:00:00"/>
        <d v="2005-01-10T00:00:00"/>
        <d v="2005-01-11T00:00:00"/>
        <d v="2005-01-12T00:00:00"/>
        <d v="2005-01-13T00:00:00"/>
        <d v="2005-01-14T00:00:00"/>
        <d v="2005-01-18T00:00:00"/>
        <d v="2005-01-19T00:00:00"/>
        <d v="2005-01-20T00:00:00"/>
        <d v="2005-01-21T00:00:00"/>
        <d v="2005-01-24T00:00:00"/>
        <d v="2005-01-25T00:00:00"/>
        <d v="2005-01-26T00:00:00"/>
        <d v="2005-01-27T00:00:00"/>
        <d v="2005-01-28T00:00:00"/>
        <d v="2005-01-31T00:00:00"/>
        <d v="2005-02-01T00:00:00"/>
        <d v="2005-02-02T00:00:00"/>
        <d v="2005-02-03T00:00:00"/>
        <d v="2005-02-04T00:00:00"/>
        <d v="2005-02-07T00:00:00"/>
        <d v="2005-02-08T00:00:00"/>
        <d v="2005-02-09T00:00:00"/>
        <d v="2005-02-10T00:00:00"/>
        <d v="2005-02-11T00:00:00"/>
        <d v="2005-02-14T00:00:00"/>
        <d v="2005-02-15T00:00:00"/>
        <d v="2005-02-16T00:00:00"/>
        <d v="2005-02-17T00:00:00"/>
        <d v="2005-02-18T00:00:00"/>
        <d v="2005-02-22T00:00:00"/>
        <d v="2005-02-23T00:00:00"/>
        <d v="2005-02-24T00:00:00"/>
        <d v="2005-02-25T00:00:00"/>
        <d v="2005-02-28T00:00:00"/>
        <d v="2005-03-01T00:00:00"/>
        <d v="2005-03-02T00:00:00"/>
        <d v="2005-03-03T00:00:00"/>
        <d v="2005-03-04T00:00:00"/>
        <d v="2005-03-07T00:00:00"/>
        <d v="2005-03-08T00:00:00"/>
        <d v="2005-03-09T00:00:00"/>
        <d v="2005-03-10T00:00:00"/>
        <d v="2005-03-11T00:00:00"/>
        <d v="2005-03-14T00:00:00"/>
        <d v="2005-03-15T00:00:00"/>
        <d v="2005-03-16T00:00:00"/>
        <d v="2005-03-17T00:00:00"/>
        <d v="2005-03-18T00:00:00"/>
        <d v="2005-03-21T00:00:00"/>
        <d v="2005-03-22T00:00:00"/>
        <d v="2005-03-23T00:00:00"/>
        <d v="2005-03-24T00:00:00"/>
        <d v="2005-03-28T00:00:00"/>
        <d v="2005-03-29T00:00:00"/>
        <d v="2005-03-30T00:00:00"/>
        <d v="2005-03-31T00:00:00"/>
        <d v="2005-04-01T00:00:00"/>
        <d v="2005-04-04T00:00:00"/>
        <d v="2005-04-05T00:00:00"/>
        <d v="2005-04-06T00:00:00"/>
        <d v="2005-04-07T00:00:00"/>
        <d v="2005-04-08T00:00:00"/>
        <d v="2005-04-11T00:00:00"/>
        <d v="2005-04-12T00:00:00"/>
        <d v="2005-04-13T00:00:00"/>
        <d v="2005-04-14T00:00:00"/>
        <d v="2005-04-15T00:00:00"/>
        <d v="2005-04-18T00:00:00"/>
        <d v="2005-04-19T00:00:00"/>
        <d v="2005-04-20T00:00:00"/>
        <d v="2005-04-21T00:00:00"/>
        <d v="2005-04-22T00:00:00"/>
        <d v="2005-04-25T00:00:00"/>
        <d v="2005-04-26T00:00:00"/>
        <d v="2005-04-27T00:00:00"/>
        <d v="2005-04-28T00:00:00"/>
        <d v="2005-04-29T00:00:00"/>
        <d v="2005-05-02T00:00:00"/>
        <d v="2005-05-03T00:00:00"/>
        <d v="2005-05-04T00:00:00"/>
        <d v="2005-05-05T00:00:00"/>
        <d v="2005-05-06T00:00:00"/>
        <d v="2005-05-09T00:00:00"/>
        <d v="2005-05-10T00:00:00"/>
        <d v="2005-05-11T00:00:00"/>
        <d v="2005-05-12T00:00:00"/>
        <d v="2005-05-13T00:00:00"/>
        <d v="2005-05-16T00:00:00"/>
        <d v="2005-05-17T00:00:00"/>
        <d v="2005-05-18T00:00:00"/>
        <d v="2005-05-19T00:00:00"/>
        <d v="2005-05-20T00:00:00"/>
        <d v="2005-05-23T00:00:00"/>
        <d v="2005-05-24T00:00:00"/>
        <d v="2005-05-25T00:00:00"/>
        <d v="2005-05-26T00:00:00"/>
        <d v="2005-05-27T00:00:00"/>
        <d v="2005-05-31T00:00:00"/>
        <d v="2005-06-01T00:00:00"/>
        <d v="2005-06-02T00:00:00"/>
        <d v="2005-06-03T00:00:00"/>
        <d v="2005-06-06T00:00:00"/>
        <d v="2005-06-07T00:00:00"/>
        <d v="2005-06-08T00:00:00"/>
        <d v="2005-06-09T00:00:00"/>
        <d v="2005-06-10T00:00:00"/>
        <d v="2005-06-13T00:00:00"/>
        <d v="2005-06-14T00:00:00"/>
        <d v="2005-06-15T00:00:00"/>
        <d v="2005-06-16T00:00:00"/>
        <d v="2005-06-17T00:00:00"/>
        <d v="2005-06-20T00:00:00"/>
        <d v="2005-06-21T00:00:00"/>
        <d v="2005-06-22T00:00:00"/>
        <d v="2005-06-23T00:00:00"/>
        <d v="2005-06-24T00:00:00"/>
        <d v="2005-06-27T00:00:00"/>
        <d v="2005-06-28T00:00:00"/>
        <d v="2005-06-29T00:00:00"/>
        <d v="2005-06-30T00:00:00"/>
        <d v="2005-07-01T00:00:00"/>
        <d v="2005-07-05T00:00:00"/>
        <d v="2005-07-06T00:00:00"/>
        <d v="2005-07-07T00:00:00"/>
        <d v="2005-07-08T00:00:00"/>
        <d v="2005-07-11T00:00:00"/>
        <d v="2005-07-12T00:00:00"/>
        <d v="2005-07-13T00:00:00"/>
        <d v="2005-07-14T00:00:00"/>
        <d v="2005-07-15T00:00:00"/>
        <d v="2005-07-18T00:00:00"/>
        <d v="2005-07-19T00:00:00"/>
        <d v="2005-07-20T00:00:00"/>
        <d v="2005-07-21T00:00:00"/>
        <d v="2005-07-22T00:00:00"/>
        <d v="2005-07-25T00:00:00"/>
        <d v="2005-07-26T00:00:00"/>
        <d v="2005-07-27T00:00:00"/>
        <d v="2005-07-28T00:00:00"/>
        <d v="2005-07-29T00:00:00"/>
        <d v="2005-08-01T00:00:00"/>
        <d v="2005-08-02T00:00:00"/>
        <d v="2005-08-03T00:00:00"/>
        <d v="2005-08-04T00:00:00"/>
        <d v="2005-08-05T00:00:00"/>
        <d v="2005-08-08T00:00:00"/>
        <d v="2005-08-09T00:00:00"/>
        <d v="2005-08-10T00:00:00"/>
        <d v="2005-08-11T00:00:00"/>
        <d v="2005-08-12T00:00:00"/>
        <d v="2005-08-15T00:00:00"/>
        <d v="2005-08-16T00:00:00"/>
        <d v="2005-08-17T00:00:00"/>
        <d v="2005-08-18T00:00:00"/>
        <d v="2005-08-19T00:00:00"/>
        <d v="2005-08-22T00:00:00"/>
        <d v="2005-08-23T00:00:00"/>
        <d v="2005-08-24T00:00:00"/>
        <d v="2005-08-25T00:00:00"/>
        <d v="2005-08-26T00:00:00"/>
        <d v="2005-08-29T00:00:00"/>
        <d v="2005-08-30T00:00:00"/>
        <d v="2005-08-31T00:00:00"/>
        <d v="2005-09-01T00:00:00"/>
        <d v="2005-09-02T00:00:00"/>
        <d v="2005-09-06T00:00:00"/>
        <d v="2005-09-07T00:00:00"/>
        <d v="2005-09-08T00:00:00"/>
        <d v="2005-09-09T00:00:00"/>
        <d v="2005-09-12T00:00:00"/>
        <d v="2005-09-13T00:00:00"/>
        <d v="2005-09-14T00:00:00"/>
        <d v="2005-09-15T00:00:00"/>
        <d v="2005-09-16T00:00:00"/>
        <d v="2005-09-19T00:00:00"/>
        <d v="2005-09-20T00:00:00"/>
        <d v="2005-09-21T00:00:00"/>
        <d v="2005-09-22T00:00:00"/>
        <d v="2005-09-23T00:00:00"/>
        <d v="2005-09-26T00:00:00"/>
        <d v="2005-09-27T00:00:00"/>
        <d v="2005-09-28T00:00:00"/>
        <d v="2005-09-29T00:00:00"/>
        <d v="2005-09-30T00:00:00"/>
        <d v="2005-10-03T00:00:00"/>
        <d v="2005-10-04T00:00:00"/>
        <d v="2005-10-05T00:00:00"/>
        <d v="2005-10-06T00:00:00"/>
        <d v="2005-10-07T00:00:00"/>
        <d v="2005-10-10T00:00:00"/>
        <d v="2005-10-11T00:00:00"/>
        <d v="2005-10-12T00:00:00"/>
        <d v="2005-10-13T00:00:00"/>
        <d v="2005-10-14T00:00:00"/>
        <d v="2005-10-17T00:00:00"/>
        <d v="2005-10-18T00:00:00"/>
        <d v="2005-10-19T00:00:00"/>
        <d v="2005-10-20T00:00:00"/>
        <d v="2005-10-21T00:00:00"/>
        <d v="2005-10-24T00:00:00"/>
        <d v="2005-10-25T00:00:00"/>
        <d v="2005-10-26T00:00:00"/>
        <d v="2005-10-27T00:00:00"/>
        <d v="2005-10-28T00:00:00"/>
        <d v="2005-10-31T00:00:00"/>
        <d v="2005-11-01T00:00:00"/>
        <d v="2005-11-02T00:00:00"/>
        <d v="2005-11-03T00:00:00"/>
        <d v="2005-11-04T00:00:00"/>
        <d v="2005-11-07T00:00:00"/>
        <d v="2005-11-08T00:00:00"/>
        <d v="2005-11-09T00:00:00"/>
        <d v="2005-11-10T00:00:00"/>
        <d v="2005-11-11T00:00:00"/>
        <d v="2005-11-14T00:00:00"/>
        <d v="2005-11-15T00:00:00"/>
        <d v="2005-11-16T00:00:00"/>
        <d v="2005-11-17T00:00:00"/>
        <d v="2005-11-18T00:00:00"/>
        <d v="2005-11-21T00:00:00"/>
        <d v="2005-11-22T00:00:00"/>
        <d v="2005-11-23T00:00:00"/>
        <d v="2005-11-25T00:00:00"/>
        <d v="2005-11-28T00:00:00"/>
        <d v="2005-11-29T00:00:00"/>
        <d v="2005-11-30T00:00:00"/>
        <d v="2005-12-01T00:00:00"/>
        <d v="2005-12-02T00:00:00"/>
        <d v="2005-12-05T00:00:00"/>
        <d v="2005-12-06T00:00:00"/>
        <d v="2005-12-07T00:00:00"/>
        <d v="2005-12-08T00:00:00"/>
        <d v="2005-12-09T00:00:00"/>
        <d v="2005-12-12T00:00:00"/>
        <d v="2005-12-13T00:00:00"/>
        <d v="2005-12-14T00:00:00"/>
        <d v="2005-12-15T00:00:00"/>
        <d v="2005-12-16T00:00:00"/>
        <d v="2005-12-19T00:00:00"/>
        <d v="2005-12-20T00:00:00"/>
        <d v="2005-12-21T00:00:00"/>
        <d v="2005-12-22T00:00:00"/>
        <d v="2005-12-23T00:00:00"/>
        <d v="2005-12-27T00:00:00"/>
        <d v="2005-12-28T00:00:00"/>
        <d v="2005-12-29T00:00:00"/>
        <d v="2005-12-30T00:00:00"/>
        <d v="2006-01-03T00:00:00"/>
        <d v="2006-01-04T00:00:00"/>
        <d v="2006-01-05T00:00:00"/>
        <d v="2006-01-06T00:00:00"/>
        <d v="2006-01-09T00:00:00"/>
        <d v="2006-01-10T00:00:00"/>
        <d v="2006-01-11T00:00:00"/>
        <d v="2006-01-12T00:00:00"/>
        <d v="2006-01-13T00:00:00"/>
        <d v="2006-01-17T00:00:00"/>
        <d v="2006-01-18T00:00:00"/>
        <d v="2006-01-19T00:00:00"/>
        <d v="2006-01-20T00:00:00"/>
        <d v="2006-01-23T00:00:00"/>
        <d v="2006-01-24T00:00:00"/>
        <d v="2006-01-25T00:00:00"/>
        <d v="2006-01-26T00:00:00"/>
        <d v="2006-01-27T00:00:00"/>
        <d v="2006-01-30T00:00:00"/>
        <d v="2006-01-31T00:00:00"/>
        <d v="2006-02-01T00:00:00"/>
        <d v="2006-02-02T00:00:00"/>
        <d v="2006-02-03T00:00:00"/>
        <d v="2006-02-06T00:00:00"/>
        <d v="2006-02-07T00:00:00"/>
        <d v="2006-02-08T00:00:00"/>
        <d v="2006-02-09T00:00:00"/>
        <d v="2006-02-10T00:00:00"/>
        <d v="2006-02-13T00:00:00"/>
        <d v="2006-02-14T00:00:00"/>
        <d v="2006-02-15T00:00:00"/>
        <d v="2006-02-16T00:00:00"/>
        <d v="2006-02-17T00:00:00"/>
        <d v="2006-02-21T00:00:00"/>
        <d v="2006-02-22T00:00:00"/>
        <d v="2006-02-23T00:00:00"/>
        <d v="2006-02-24T00:00:00"/>
        <d v="2006-02-27T00:00:00"/>
        <d v="2006-02-28T00:00:00"/>
        <d v="2006-03-01T00:00:00"/>
        <d v="2006-03-02T00:00:00"/>
        <d v="2006-03-03T00:00:00"/>
        <d v="2006-03-06T00:00:00"/>
        <d v="2006-03-07T00:00:00"/>
        <d v="2006-03-08T00:00:00"/>
        <d v="2006-03-09T00:00:00"/>
        <d v="2006-03-10T00:00:00"/>
        <d v="2006-03-13T00:00:00"/>
        <d v="2006-03-14T00:00:00"/>
        <d v="2006-03-15T00:00:00"/>
        <d v="2006-03-16T00:00:00"/>
        <d v="2006-03-17T00:00:00"/>
        <d v="2006-03-20T00:00:00"/>
        <d v="2006-03-21T00:00:00"/>
        <d v="2006-03-22T00:00:00"/>
        <d v="2006-03-23T00:00:00"/>
        <d v="2006-03-24T00:00:00"/>
        <d v="2006-03-27T00:00:00"/>
        <d v="2006-03-28T00:00:00"/>
        <d v="2006-03-29T00:00:00"/>
        <d v="2006-03-30T00:00:00"/>
        <d v="2006-03-31T00:00:00"/>
        <d v="2006-04-03T00:00:00"/>
        <d v="2006-04-04T00:00:00"/>
        <d v="2006-04-05T00:00:00"/>
        <d v="2006-04-06T00:00:00"/>
        <d v="2006-04-07T00:00:00"/>
        <d v="2006-04-10T00:00:00"/>
        <d v="2006-04-11T00:00:00"/>
        <d v="2006-04-12T00:00:00"/>
        <d v="2006-04-13T00:00:00"/>
        <d v="2006-04-17T00:00:00"/>
        <d v="2006-04-18T00:00:00"/>
        <d v="2006-04-19T00:00:00"/>
        <d v="2006-04-20T00:00:00"/>
        <d v="2006-04-21T00:00:00"/>
        <d v="2006-04-24T00:00:00"/>
        <d v="2006-04-25T00:00:00"/>
        <d v="2006-04-26T00:00:00"/>
        <d v="2006-04-27T00:00:00"/>
        <d v="2006-04-28T00:00:00"/>
        <d v="2006-05-01T00:00:00"/>
        <d v="2006-05-02T00:00:00"/>
        <d v="2006-05-03T00:00:00"/>
        <d v="2006-05-04T00:00:00"/>
        <d v="2006-05-05T00:00:00"/>
        <d v="2006-05-08T00:00:00"/>
        <d v="2006-05-09T00:00:00"/>
        <d v="2006-05-10T00:00:00"/>
        <d v="2006-05-11T00:00:00"/>
        <d v="2006-05-12T00:00:00"/>
        <d v="2006-05-15T00:00:00"/>
        <d v="2006-05-16T00:00:00"/>
        <d v="2006-05-17T00:00:00"/>
        <d v="2006-05-18T00:00:00"/>
        <d v="2006-05-19T00:00:00"/>
        <d v="2006-05-22T00:00:00"/>
        <d v="2006-05-23T00:00:00"/>
        <d v="2006-05-24T00:00:00"/>
        <d v="2006-05-25T00:00:00"/>
        <d v="2006-05-26T00:00:00"/>
        <d v="2006-05-30T00:00:00"/>
        <d v="2006-05-31T00:00:00"/>
        <d v="2006-06-01T00:00:00"/>
        <d v="2006-06-02T00:00:00"/>
        <d v="2006-06-05T00:00:00"/>
        <d v="2006-06-06T00:00:00"/>
        <d v="2006-06-07T00:00:00"/>
        <d v="2006-06-08T00:00:00"/>
        <d v="2006-06-09T00:00:00"/>
        <d v="2006-06-12T00:00:00"/>
        <d v="2006-06-13T00:00:00"/>
        <d v="2006-06-14T00:00:00"/>
        <d v="2006-06-15T00:00:00"/>
        <d v="2006-06-16T00:00:00"/>
        <d v="2006-06-19T00:00:00"/>
        <d v="2006-06-20T00:00:00"/>
        <d v="2006-06-21T00:00:00"/>
        <d v="2006-06-22T00:00:00"/>
        <d v="2006-06-23T00:00:00"/>
        <d v="2006-06-26T00:00:00"/>
        <d v="2006-06-27T00:00:00"/>
        <d v="2006-06-28T00:00:00"/>
        <d v="2006-06-29T00:00:00"/>
        <d v="2006-06-30T00:00:00"/>
        <d v="2006-07-03T00:00:00"/>
        <d v="2006-07-05T00:00:00"/>
        <d v="2006-07-06T00:00:00"/>
        <d v="2006-07-07T00:00:00"/>
        <d v="2006-07-10T00:00:00"/>
        <d v="2006-07-11T00:00:00"/>
        <d v="2006-07-12T00:00:00"/>
        <d v="2006-07-13T00:00:00"/>
        <d v="2006-07-14T00:00:00"/>
        <d v="2006-07-17T00:00:00"/>
        <d v="2006-07-18T00:00:00"/>
        <d v="2006-07-19T00:00:00"/>
        <d v="2006-07-20T00:00:00"/>
        <d v="2006-07-21T00:00:00"/>
        <d v="2006-07-24T00:00:00"/>
        <d v="2006-07-25T00:00:00"/>
        <d v="2006-07-26T00:00:00"/>
        <d v="2006-07-27T00:00:00"/>
        <d v="2006-07-28T00:00:00"/>
        <d v="2006-07-31T00:00:00"/>
        <d v="2006-08-01T00:00:00"/>
        <d v="2006-08-02T00:00:00"/>
        <d v="2006-08-03T00:00:00"/>
        <d v="2006-08-04T00:00:00"/>
        <d v="2006-08-07T00:00:00"/>
        <d v="2006-08-08T00:00:00"/>
        <d v="2006-08-09T00:00:00"/>
        <d v="2006-08-10T00:00:00"/>
        <d v="2006-08-11T00:00:00"/>
        <d v="2006-08-14T00:00:00"/>
        <d v="2006-08-15T00:00:00"/>
        <d v="2006-08-16T00:00:00"/>
        <d v="2006-08-17T00:00:00"/>
        <d v="2006-08-18T00:00:00"/>
        <d v="2006-08-21T00:00:00"/>
        <d v="2006-08-22T00:00:00"/>
        <d v="2006-08-23T00:00:00"/>
        <d v="2006-08-24T00:00:00"/>
        <d v="2006-08-25T00:00:00"/>
        <d v="2006-08-28T00:00:00"/>
        <d v="2006-08-29T00:00:00"/>
        <d v="2006-08-30T00:00:00"/>
        <d v="2006-08-31T00:00:00"/>
        <d v="2006-09-01T00:00:00"/>
        <d v="2006-09-05T00:00:00"/>
        <d v="2006-09-06T00:00:00"/>
        <d v="2006-09-07T00:00:00"/>
        <d v="2006-09-08T00:00:00"/>
        <d v="2006-09-11T00:00:00"/>
        <d v="2006-09-12T00:00:00"/>
        <d v="2006-09-13T00:00:00"/>
        <d v="2006-09-14T00:00:00"/>
        <d v="2006-09-15T00:00:00"/>
        <d v="2006-09-18T00:00:00"/>
        <d v="2006-09-19T00:00:00"/>
        <d v="2006-09-20T00:00:00"/>
        <d v="2006-09-21T00:00:00"/>
        <d v="2006-09-22T00:00:00"/>
        <d v="2006-09-25T00:00:00"/>
        <d v="2006-09-26T00:00:00"/>
        <d v="2006-09-27T00:00:00"/>
        <d v="2006-09-28T00:00:00"/>
        <d v="2006-09-29T00:00:00"/>
        <d v="2006-10-02T00:00:00"/>
        <d v="2006-10-03T00:00:00"/>
        <d v="2006-10-04T00:00:00"/>
        <d v="2006-10-05T00:00:00"/>
        <d v="2006-10-06T00:00:00"/>
        <d v="2006-10-09T00:00:00"/>
        <d v="2006-10-10T00:00:00"/>
        <d v="2006-10-11T00:00:00"/>
        <d v="2006-10-12T00:00:00"/>
        <d v="2006-10-13T00:00:00"/>
        <d v="2006-10-16T00:00:00"/>
        <d v="2006-10-17T00:00:00"/>
        <d v="2006-10-18T00:00:00"/>
        <d v="2006-10-19T00:00:00"/>
        <d v="2006-10-20T00:00:00"/>
        <d v="2006-10-23T00:00:00"/>
        <d v="2006-10-24T00:00:00"/>
        <d v="2006-10-25T00:00:00"/>
        <d v="2006-10-26T00:00:00"/>
        <d v="2006-10-27T00:00:00"/>
        <d v="2006-10-30T00:00:00"/>
        <d v="2006-10-31T00:00:00"/>
        <d v="2006-11-01T00:00:00"/>
        <d v="2006-11-02T00:00:00"/>
        <d v="2006-11-03T00:00:00"/>
        <d v="2006-11-06T00:00:00"/>
        <d v="2006-11-07T00:00:00"/>
        <d v="2006-11-08T00:00:00"/>
        <d v="2006-11-09T00:00:00"/>
        <d v="2006-11-10T00:00:00"/>
        <d v="2006-11-13T00:00:00"/>
        <d v="2006-11-14T00:00:00"/>
        <d v="2006-11-15T00:00:00"/>
        <d v="2006-11-16T00:00:00"/>
        <d v="2006-11-17T00:00:00"/>
        <d v="2006-11-20T00:00:00"/>
        <d v="2006-11-21T00:00:00"/>
        <d v="2006-11-22T00:00:00"/>
        <d v="2006-11-24T00:00:00"/>
        <d v="2006-11-27T00:00:00"/>
        <d v="2006-11-28T00:00:00"/>
        <d v="2006-11-29T00:00:00"/>
        <d v="2006-11-30T00:00:00"/>
        <d v="2006-12-01T00:00:00"/>
        <d v="2006-12-04T00:00:00"/>
        <d v="2006-12-05T00:00:00"/>
        <d v="2006-12-06T00:00:00"/>
        <d v="2006-12-07T00:00:00"/>
        <d v="2006-12-08T00:00:00"/>
        <d v="2006-12-11T00:00:00"/>
        <d v="2006-12-12T00:00:00"/>
        <d v="2006-12-13T00:00:00"/>
        <d v="2006-12-14T00:00:00"/>
        <d v="2006-12-15T00:00:00"/>
        <d v="2006-12-18T00:00:00"/>
        <d v="2006-12-19T00:00:00"/>
        <d v="2006-12-20T00:00:00"/>
        <d v="2006-12-21T00:00:00"/>
        <d v="2006-12-22T00:00:00"/>
        <d v="2006-12-26T00:00:00"/>
        <d v="2006-12-27T00:00:00"/>
        <d v="2006-12-28T00:00:00"/>
        <d v="2006-12-29T00:00:00"/>
        <d v="2007-01-03T00:00:00"/>
        <d v="2007-01-04T00:00:00"/>
        <d v="2007-01-05T00:00:00"/>
        <d v="2007-01-08T00:00:00"/>
        <d v="2007-01-09T00:00:00"/>
        <d v="2007-01-10T00:00:00"/>
        <d v="2007-01-11T00:00:00"/>
        <d v="2007-01-12T00:00:00"/>
        <d v="2007-01-16T00:00:00"/>
        <d v="2007-01-17T00:00:00"/>
        <d v="2007-01-18T00:00:00"/>
        <d v="2007-01-19T00:00:00"/>
        <d v="2007-01-22T00:00:00"/>
        <d v="2007-01-23T00:00:00"/>
        <d v="2007-01-24T00:00:00"/>
        <d v="2007-01-25T00:00:00"/>
        <d v="2007-01-26T00:00:00"/>
        <d v="2007-01-29T00:00:00"/>
        <d v="2007-01-30T00:00:00"/>
        <d v="2007-01-31T00:00:00"/>
        <d v="2007-02-01T00:00:00"/>
        <d v="2007-02-02T00:00:00"/>
        <d v="2007-02-05T00:00:00"/>
        <d v="2007-02-06T00:00:00"/>
        <d v="2007-02-07T00:00:00"/>
        <d v="2007-02-08T00:00:00"/>
        <d v="2007-02-09T00:00:00"/>
        <d v="2007-02-12T00:00:00"/>
        <d v="2007-02-13T00:00:00"/>
        <d v="2007-02-14T00:00:00"/>
        <d v="2007-02-15T00:00:00"/>
        <d v="2007-02-16T00:00:00"/>
        <d v="2007-02-20T00:00:00"/>
        <d v="2007-02-21T00:00:00"/>
        <d v="2007-02-22T00:00:00"/>
        <d v="2007-02-23T00:00:00"/>
        <d v="2007-02-26T00:00:00"/>
        <d v="2007-02-27T00:00:00"/>
        <d v="2007-02-28T00:00:00"/>
        <d v="2007-03-01T00:00:00"/>
        <d v="2007-03-02T00:00:00"/>
        <d v="2007-03-05T00:00:00"/>
        <d v="2007-03-06T00:00:00"/>
        <d v="2007-03-07T00:00:00"/>
        <d v="2007-03-08T00:00:00"/>
        <d v="2007-03-09T00:00:00"/>
        <d v="2007-03-12T00:00:00"/>
        <d v="2007-03-13T00:00:00"/>
        <d v="2007-03-14T00:00:00"/>
        <d v="2007-03-15T00:00:00"/>
        <d v="2007-03-16T00:00:00"/>
        <d v="2007-03-19T00:00:00"/>
        <d v="2007-03-20T00:00:00"/>
        <d v="2007-03-21T00:00:00"/>
        <d v="2007-03-22T00:00:00"/>
        <d v="2007-03-23T00:00:00"/>
        <d v="2007-03-26T00:00:00"/>
        <d v="2007-03-27T00:00:00"/>
        <d v="2007-03-28T00:00:00"/>
        <d v="2007-03-29T00:00:00"/>
        <d v="2007-03-30T00:00:00"/>
        <d v="2007-04-02T00:00:00"/>
        <d v="2007-04-03T00:00:00"/>
        <d v="2007-04-04T00:00:00"/>
        <d v="2007-04-05T00:00:00"/>
        <d v="2007-04-09T00:00:00"/>
        <d v="2007-04-10T00:00:00"/>
        <d v="2007-04-11T00:00:00"/>
        <d v="2007-04-12T00:00:00"/>
        <d v="2007-04-13T00:00:00"/>
        <d v="2007-04-16T00:00:00"/>
        <d v="2007-04-17T00:00:00"/>
        <d v="2007-04-18T00:00:00"/>
        <d v="2007-04-19T00:00:00"/>
        <d v="2007-04-20T00:00:00"/>
        <d v="2007-04-23T00:00:00"/>
        <d v="2007-04-24T00:00:00"/>
        <d v="2007-04-25T00:00:00"/>
        <d v="2007-04-26T00:00:00"/>
        <d v="2007-04-27T00:00:00"/>
        <d v="2007-04-30T00:00:00"/>
        <d v="2007-05-01T00:00:00"/>
        <d v="2007-05-02T00:00:00"/>
        <d v="2007-05-03T00:00:00"/>
        <d v="2007-05-04T00:00:00"/>
        <d v="2007-05-07T00:00:00"/>
        <d v="2007-05-08T00:00:00"/>
        <d v="2007-05-09T00:00:00"/>
        <d v="2007-05-10T00:00:00"/>
        <d v="2007-05-11T00:00:00"/>
        <d v="2007-05-14T00:00:00"/>
        <d v="2007-05-15T00:00:00"/>
        <d v="2007-05-16T00:00:00"/>
        <d v="2007-05-17T00:00:00"/>
        <d v="2007-05-18T00:00:00"/>
        <d v="2007-05-21T00:00:00"/>
        <d v="2007-05-22T00:00:00"/>
        <d v="2007-05-23T00:00:00"/>
        <d v="2007-05-24T00:00:00"/>
        <d v="2007-05-25T00:00:00"/>
        <d v="2007-05-29T00:00:00"/>
        <d v="2007-05-30T00:00:00"/>
        <d v="2007-05-31T00:00:00"/>
        <d v="2007-06-01T00:00:00"/>
        <d v="2007-06-04T00:00:00"/>
        <d v="2007-06-05T00:00:00"/>
        <d v="2007-06-06T00:00:00"/>
        <d v="2007-06-07T00:00:00"/>
        <d v="2007-06-08T00:00:00"/>
        <d v="2007-06-11T00:00:00"/>
        <d v="2007-06-12T00:00:00"/>
        <d v="2007-06-13T00:00:00"/>
        <d v="2007-06-14T00:00:00"/>
        <d v="2007-06-15T00:00:00"/>
        <d v="2007-06-18T00:00:00"/>
        <d v="2007-06-19T00:00:00"/>
        <d v="2007-06-20T00:00:00"/>
        <d v="2007-06-21T00:00:00"/>
        <d v="2007-06-22T00:00:00"/>
        <d v="2007-06-25T00:00:00"/>
        <d v="2007-06-26T00:00:00"/>
        <d v="2007-06-27T00:00:00"/>
        <d v="2007-06-28T00:00:00"/>
        <d v="2007-06-29T00:00:00"/>
        <d v="2007-07-02T00:00:00"/>
        <d v="2007-07-03T00:00:00"/>
        <d v="2007-07-05T00:00:00"/>
        <d v="2007-07-06T00:00:00"/>
        <d v="2007-07-09T00:00:00"/>
        <d v="2007-07-10T00:00:00"/>
        <d v="2007-07-11T00:00:00"/>
        <d v="2007-07-12T00:00:00"/>
        <d v="2007-07-13T00:00:00"/>
        <d v="2007-07-16T00:00:00"/>
        <d v="2007-07-17T00:00:00"/>
        <d v="2007-07-18T00:00:00"/>
        <d v="2007-07-19T00:00:00"/>
        <d v="2007-07-20T00:00:00"/>
        <d v="2007-07-23T00:00:00"/>
        <d v="2007-07-24T00:00:00"/>
        <d v="2007-07-25T00:00:00"/>
        <d v="2007-07-26T00:00:00"/>
        <d v="2007-07-27T00:00:00"/>
        <d v="2007-07-30T00:00:00"/>
        <d v="2007-07-31T00:00:00"/>
        <d v="2007-08-01T00:00:00"/>
        <d v="2007-08-02T00:00:00"/>
        <d v="2007-08-03T00:00:00"/>
        <d v="2007-08-06T00:00:00"/>
        <d v="2007-08-07T00:00:00"/>
        <d v="2007-08-08T00:00:00"/>
        <d v="2007-08-09T00:00:00"/>
        <d v="2007-08-10T00:00:00"/>
        <d v="2007-08-13T00:00:00"/>
        <d v="2007-08-14T00:00:00"/>
        <d v="2007-08-15T00:00:00"/>
        <d v="2007-08-16T00:00:00"/>
        <d v="2007-08-17T00:00:00"/>
        <d v="2007-08-20T00:00:00"/>
        <d v="2007-08-21T00:00:00"/>
        <d v="2007-08-22T00:00:00"/>
        <d v="2007-08-23T00:00:00"/>
        <d v="2007-08-24T00:00:00"/>
        <d v="2007-08-27T00:00:00"/>
        <d v="2007-08-28T00:00:00"/>
        <d v="2007-08-29T00:00:00"/>
        <d v="2007-08-30T00:00:00"/>
        <d v="2007-08-31T00:00:00"/>
        <d v="2007-09-04T00:00:00"/>
        <d v="2007-09-05T00:00:00"/>
        <d v="2007-09-06T00:00:00"/>
        <d v="2007-09-07T00:00:00"/>
        <d v="2007-09-10T00:00:00"/>
        <d v="2007-09-11T00:00:00"/>
        <d v="2007-09-12T00:00:00"/>
        <d v="2007-09-13T00:00:00"/>
        <d v="2007-09-14T00:00:00"/>
        <d v="2007-09-17T00:00:00"/>
        <d v="2007-09-18T00:00:00"/>
        <d v="2007-09-19T00:00:00"/>
        <d v="2007-09-20T00:00:00"/>
        <d v="2007-09-21T00:00:00"/>
        <d v="2007-09-24T00:00:00"/>
        <d v="2007-09-25T00:00:00"/>
        <d v="2007-09-26T00:00:00"/>
        <d v="2007-09-27T00:00:00"/>
        <d v="2007-09-28T00:00:00"/>
        <d v="2007-10-01T00:00:00"/>
        <d v="2007-10-02T00:00:00"/>
        <d v="2007-10-03T00:00:00"/>
        <d v="2007-10-04T00:00:00"/>
        <d v="2007-10-05T00:00:00"/>
        <d v="2007-10-08T00:00:00"/>
        <d v="2007-10-09T00:00:00"/>
        <d v="2007-10-10T00:00:00"/>
        <d v="2007-10-11T00:00:00"/>
        <d v="2007-10-12T00:00:00"/>
        <d v="2007-10-15T00:00:00"/>
        <d v="2007-10-16T00:00:00"/>
        <d v="2007-10-17T00:00:00"/>
        <d v="2007-10-18T00:00:00"/>
        <d v="2007-10-19T00:00:00"/>
        <d v="2007-10-22T00:00:00"/>
        <d v="2007-10-23T00:00:00"/>
        <d v="2007-10-24T00:00:00"/>
        <d v="2007-10-25T00:00:00"/>
        <d v="2007-10-26T00:00:00"/>
        <d v="2007-10-29T00:00:00"/>
        <d v="2007-10-30T00:00:00"/>
        <d v="2007-10-31T00:00:00"/>
        <d v="2007-11-01T00:00:00"/>
        <d v="2007-11-02T00:00:00"/>
        <d v="2007-11-05T00:00:00"/>
        <d v="2007-11-06T00:00:00"/>
        <d v="2007-11-07T00:00:00"/>
        <d v="2007-11-08T00:00:00"/>
        <d v="2007-11-09T00:00:00"/>
        <d v="2007-11-12T00:00:00"/>
        <d v="2007-11-13T00:00:00"/>
        <d v="2007-11-14T00:00:00"/>
        <d v="2007-11-15T00:00:00"/>
        <d v="2007-11-16T00:00:00"/>
        <d v="2007-11-19T00:00:00"/>
        <d v="2007-11-20T00:00:00"/>
        <d v="2007-11-21T00:00:00"/>
        <d v="2007-11-23T00:00:00"/>
        <d v="2007-11-26T00:00:00"/>
        <d v="2007-11-27T00:00:00"/>
        <d v="2007-11-28T00:00:00"/>
        <d v="2007-11-29T00:00:00"/>
        <d v="2007-11-30T00:00:00"/>
        <d v="2007-12-03T00:00:00"/>
        <d v="2007-12-04T00:00:00"/>
        <d v="2007-12-05T00:00:00"/>
        <d v="2007-12-06T00:00:00"/>
        <d v="2007-12-07T00:00:00"/>
        <d v="2007-12-10T00:00:00"/>
        <d v="2007-12-11T00:00:00"/>
        <d v="2007-12-12T00:00:00"/>
        <d v="2007-12-13T00:00:00"/>
        <d v="2007-12-14T00:00:00"/>
        <d v="2007-12-17T00:00:00"/>
        <d v="2007-12-18T00:00:00"/>
        <d v="2007-12-19T00:00:00"/>
        <d v="2007-12-20T00:00:00"/>
        <d v="2007-12-21T00:00:00"/>
        <d v="2007-12-24T00:00:00"/>
        <d v="2007-12-26T00:00:00"/>
        <d v="2007-12-27T00:00:00"/>
        <d v="2007-12-28T00:00:00"/>
        <d v="2007-12-31T00:00:00"/>
        <d v="2008-01-02T00:00:00"/>
        <d v="2008-01-03T00:00:00"/>
        <d v="2008-01-04T00:00:00"/>
        <d v="2008-01-07T00:00:00"/>
        <d v="2008-01-08T00:00:00"/>
        <d v="2008-01-09T00:00:00"/>
        <d v="2008-01-10T00:00:00"/>
        <d v="2008-01-11T00:00:00"/>
        <d v="2008-01-14T00:00:00"/>
        <d v="2008-01-15T00:00:00"/>
        <d v="2008-01-16T00:00:00"/>
        <d v="2008-01-17T00:00:00"/>
        <d v="2008-01-18T00:00:00"/>
        <d v="2008-01-22T00:00:00"/>
        <d v="2008-01-23T00:00:00"/>
        <d v="2008-01-24T00:00:00"/>
        <d v="2008-01-25T00:00:00"/>
        <d v="2008-01-28T00:00:00"/>
        <d v="2008-01-29T00:00:00"/>
        <d v="2008-01-30T00:00:00"/>
        <d v="2008-01-31T00:00:00"/>
        <d v="2008-02-01T00:00:00"/>
        <d v="2008-02-04T00:00:00"/>
        <d v="2008-02-05T00:00:00"/>
        <d v="2008-02-06T00:00:00"/>
        <d v="2008-02-07T00:00:00"/>
        <d v="2008-02-08T00:00:00"/>
        <d v="2008-02-11T00:00:00"/>
        <d v="2008-02-12T00:00:00"/>
        <d v="2008-02-13T00:00:00"/>
        <d v="2008-02-14T00:00:00"/>
        <d v="2008-02-15T00:00:00"/>
        <d v="2008-02-19T00:00:00"/>
        <d v="2008-02-20T00:00:00"/>
        <d v="2008-02-21T00:00:00"/>
        <d v="2008-02-22T00:00:00"/>
        <d v="2008-02-25T00:00:00"/>
        <d v="2008-02-26T00:00:00"/>
        <d v="2008-02-27T00:00:00"/>
        <d v="2008-02-28T00:00:00"/>
        <d v="2008-02-29T00:00:00"/>
        <d v="2008-03-03T00:00:00"/>
        <d v="2008-03-04T00:00:00"/>
        <d v="2008-03-05T00:00:00"/>
        <d v="2008-03-06T00:00:00"/>
        <d v="2008-03-07T00:00:00"/>
        <d v="2008-03-10T00:00:00"/>
        <d v="2008-03-11T00:00:00"/>
        <d v="2008-03-12T00:00:00"/>
        <d v="2008-03-13T00:00:00"/>
        <d v="2008-03-14T00:00:00"/>
        <d v="2008-03-17T00:00:00"/>
        <d v="2008-03-18T00:00:00"/>
        <d v="2008-03-19T00:00:00"/>
        <d v="2008-03-20T00:00:00"/>
        <d v="2008-03-24T00:00:00"/>
        <d v="2008-03-25T00:00:00"/>
        <d v="2008-03-26T00:00:00"/>
        <d v="2008-03-27T00:00:00"/>
        <d v="2008-03-28T00:00:00"/>
        <d v="2008-03-31T00:00:00"/>
        <d v="2008-04-01T00:00:00"/>
        <d v="2008-04-02T00:00:00"/>
        <d v="2008-04-03T00:00:00"/>
        <d v="2008-04-04T00:00:00"/>
        <d v="2008-04-07T00:00:00"/>
        <d v="2008-04-08T00:00:00"/>
        <d v="2008-04-09T00:00:00"/>
        <d v="2008-04-10T00:00:00"/>
        <d v="2008-04-11T00:00:00"/>
        <d v="2008-04-14T00:00:00"/>
        <d v="2008-04-15T00:00:00"/>
        <d v="2008-04-16T00:00:00"/>
        <d v="2008-04-17T00:00:00"/>
        <d v="2008-04-18T00:00:00"/>
        <d v="2008-04-21T00:00:00"/>
        <d v="2008-04-22T00:00:00"/>
        <d v="2008-04-23T00:00:00"/>
        <d v="2008-04-24T00:00:00"/>
        <d v="2008-04-25T00:00:00"/>
        <d v="2008-04-28T00:00:00"/>
        <d v="2008-04-29T00:00:00"/>
        <d v="2008-04-30T00:00:00"/>
        <d v="2008-05-01T00:00:00"/>
        <d v="2008-05-02T00:00:00"/>
        <d v="2008-05-05T00:00:00"/>
        <d v="2008-05-06T00:00:00"/>
        <d v="2008-05-07T00:00:00"/>
        <d v="2008-05-08T00:00:00"/>
        <d v="2008-05-09T00:00:00"/>
        <d v="2008-05-12T00:00:00"/>
        <d v="2008-05-13T00:00:00"/>
        <d v="2008-05-14T00:00:00"/>
        <d v="2008-05-15T00:00:00"/>
        <d v="2008-05-16T00:00:00"/>
        <d v="2008-05-19T00:00:00"/>
        <d v="2008-05-20T00:00:00"/>
        <d v="2008-05-21T00:00:00"/>
        <d v="2008-05-22T00:00:00"/>
        <d v="2008-05-23T00:00:00"/>
        <d v="2008-05-27T00:00:00"/>
        <d v="2008-05-28T00:00:00"/>
        <d v="2008-05-29T00:00:00"/>
        <d v="2008-05-30T00:00:00"/>
        <d v="2008-06-02T00:00:00"/>
        <d v="2008-06-03T00:00:00"/>
        <d v="2008-06-04T00:00:00"/>
        <d v="2008-06-05T00:00:00"/>
        <d v="2008-06-06T00:00:00"/>
        <d v="2008-06-09T00:00:00"/>
        <d v="2008-06-10T00:00:00"/>
        <d v="2008-06-11T00:00:00"/>
        <d v="2008-06-12T00:00:00"/>
        <d v="2008-06-13T00:00:00"/>
        <d v="2008-06-16T00:00:00"/>
        <d v="2008-06-17T00:00:00"/>
        <d v="2008-06-18T00:00:00"/>
        <d v="2008-06-19T00:00:00"/>
        <d v="2008-06-20T00:00:00"/>
        <d v="2008-06-23T00:00:00"/>
        <d v="2008-06-24T00:00:00"/>
        <d v="2008-06-25T00:00:00"/>
        <d v="2008-06-26T00:00:00"/>
        <d v="2008-06-27T00:00:00"/>
        <d v="2008-06-30T00:00:00"/>
        <d v="2008-07-01T00:00:00"/>
        <d v="2008-07-02T00:00:00"/>
        <d v="2008-07-03T00:00:00"/>
        <d v="2008-07-07T00:00:00"/>
        <d v="2008-07-08T00:00:00"/>
        <d v="2008-07-09T00:00:00"/>
        <d v="2008-07-10T00:00:00"/>
        <d v="2008-07-11T00:00:00"/>
        <d v="2008-07-14T00:00:00"/>
        <d v="2008-07-15T00:00:00"/>
        <d v="2008-07-16T00:00:00"/>
        <d v="2008-07-17T00:00:00"/>
        <d v="2008-07-18T00:00:00"/>
        <d v="2008-07-21T00:00:00"/>
        <d v="2008-07-22T00:00:00"/>
        <d v="2008-07-23T00:00:00"/>
        <d v="2008-07-24T00:00:00"/>
        <d v="2008-07-25T00:00:00"/>
        <d v="2008-07-28T00:00:00"/>
        <d v="2008-07-29T00:00:00"/>
        <d v="2008-07-30T00:00:00"/>
        <d v="2008-07-31T00:00:00"/>
        <d v="2008-08-01T00:00:00"/>
        <d v="2008-08-04T00:00:00"/>
        <d v="2008-08-05T00:00:00"/>
        <d v="2008-08-06T00:00:00"/>
        <d v="2008-08-07T00:00:00"/>
        <d v="2008-08-08T00:00:00"/>
        <d v="2008-08-11T00:00:00"/>
        <d v="2008-08-12T00:00:00"/>
        <d v="2008-08-13T00:00:00"/>
        <d v="2008-08-14T00:00:00"/>
        <d v="2008-08-15T00:00:00"/>
        <d v="2008-08-18T00:00:00"/>
        <d v="2008-08-19T00:00:00"/>
        <d v="2008-08-20T00:00:00"/>
        <d v="2008-08-21T00:00:00"/>
        <d v="2008-08-22T00:00:00"/>
        <d v="2008-08-25T00:00:00"/>
        <d v="2008-08-26T00:00:00"/>
        <d v="2008-08-27T00:00:00"/>
        <d v="2008-08-28T00:00:00"/>
        <d v="2008-08-29T00:00:00"/>
        <d v="2008-09-02T00:00:00"/>
        <d v="2008-09-03T00:00:00"/>
        <d v="2008-09-04T00:00:00"/>
        <d v="2008-09-05T00:00:00"/>
        <d v="2008-09-08T00:00:00"/>
        <d v="2008-09-09T00:00:00"/>
        <d v="2008-09-10T00:00:00"/>
        <d v="2008-09-11T00:00:00"/>
        <d v="2008-09-12T00:00:00"/>
        <d v="2008-09-15T00:00:00"/>
        <d v="2008-09-16T00:00:00"/>
        <d v="2008-09-17T00:00:00"/>
        <d v="2008-09-18T00:00:00"/>
        <d v="2008-09-19T00:00:00"/>
        <d v="2008-09-22T00:00:00"/>
        <d v="2008-09-23T00:00:00"/>
        <d v="2008-09-24T00:00:00"/>
        <d v="2008-09-25T00:00:00"/>
        <d v="2008-09-26T00:00:00"/>
        <d v="2008-09-29T00:00:00"/>
        <d v="2008-09-30T00:00:00"/>
        <d v="2008-10-01T00:00:00"/>
        <d v="2008-10-02T00:00:00"/>
        <d v="2008-10-03T00:00:00"/>
        <d v="2008-10-06T00:00:00"/>
        <d v="2008-10-07T00:00:00"/>
        <d v="2008-10-08T00:00:00"/>
        <d v="2008-10-09T00:00:00"/>
        <d v="2008-10-10T00:00:00"/>
        <d v="2008-10-13T00:00:00"/>
        <d v="2008-10-14T00:00:00"/>
        <d v="2008-10-15T00:00:00"/>
        <d v="2008-10-16T00:00:00"/>
        <d v="2008-10-17T00:00:00"/>
        <d v="2008-10-20T00:00:00"/>
        <d v="2008-10-21T00:00:00"/>
        <d v="2008-10-22T00:00:00"/>
        <d v="2008-10-23T00:00:00"/>
        <d v="2008-10-24T00:00:00"/>
        <d v="2008-10-27T00:00:00"/>
        <d v="2008-10-28T00:00:00"/>
        <d v="2008-10-29T00:00:00"/>
        <d v="2008-10-30T00:00:00"/>
        <d v="2008-10-31T00:00:00"/>
        <d v="2008-11-03T00:00:00"/>
        <d v="2008-11-04T00:00:00"/>
        <d v="2008-11-05T00:00:00"/>
        <d v="2008-11-06T00:00:00"/>
        <d v="2008-11-07T00:00:00"/>
        <d v="2008-11-10T00:00:00"/>
        <d v="2008-11-11T00:00:00"/>
        <d v="2008-11-12T00:00:00"/>
        <d v="2008-11-13T00:00:00"/>
        <d v="2008-11-14T00:00:00"/>
        <d v="2008-11-17T00:00:00"/>
        <d v="2008-11-18T00:00:00"/>
        <d v="2008-11-19T00:00:00"/>
        <d v="2008-11-20T00:00:00"/>
        <d v="2008-11-21T00:00:00"/>
        <d v="2008-11-24T00:00:00"/>
        <d v="2008-11-25T00:00:00"/>
        <d v="2008-11-26T00:00:00"/>
        <d v="2008-11-28T00:00:00"/>
        <d v="2008-12-01T00:00:00"/>
        <d v="2008-12-02T00:00:00"/>
        <d v="2008-12-03T00:00:00"/>
        <d v="2008-12-04T00:00:00"/>
        <d v="2008-12-05T00:00:00"/>
        <d v="2008-12-08T00:00:00"/>
        <d v="2008-12-09T00:00:00"/>
        <d v="2008-12-10T00:00:00"/>
        <d v="2008-12-11T00:00:00"/>
        <d v="2008-12-12T00:00:00"/>
        <d v="2008-12-15T00:00:00"/>
        <d v="2008-12-16T00:00:00"/>
        <d v="2008-12-17T00:00:00"/>
        <d v="2008-12-18T00:00:00"/>
        <d v="2008-12-19T00:00:00"/>
        <d v="2008-12-22T00:00:00"/>
        <d v="2008-12-23T00:00:00"/>
        <d v="2008-12-24T00:00:00"/>
        <d v="2008-12-26T00:00:00"/>
        <d v="2008-12-29T00:00:00"/>
        <d v="2008-12-30T00:00:00"/>
        <d v="2008-12-31T00:00:00"/>
        <d v="2009-01-02T00:00:00"/>
        <d v="2009-01-05T00:00:00"/>
        <d v="2009-01-06T00:00:00"/>
        <d v="2009-01-07T00:00:00"/>
        <d v="2009-01-08T00:00:00"/>
        <d v="2009-01-09T00:00:00"/>
        <d v="2009-01-12T00:00:00"/>
        <d v="2009-01-13T00:00:00"/>
        <d v="2009-01-14T00:00:00"/>
        <d v="2009-01-15T00:00:00"/>
        <d v="2009-01-16T00:00:00"/>
        <d v="2009-01-20T00:00:00"/>
        <d v="2009-01-21T00:00:00"/>
        <d v="2009-01-22T00:00:00"/>
        <d v="2009-01-23T00:00:00"/>
        <d v="2009-01-26T00:00:00"/>
        <d v="2009-01-27T00:00:00"/>
        <d v="2009-01-28T00:00:00"/>
        <d v="2009-01-29T00:00:00"/>
        <d v="2009-01-30T00:00:00"/>
        <d v="2009-02-02T00:00:00"/>
        <d v="2009-02-03T00:00:00"/>
        <d v="2009-02-04T00:00:00"/>
        <d v="2009-02-05T00:00:00"/>
        <d v="2009-02-06T00:00:00"/>
        <d v="2009-02-09T00:00:00"/>
        <d v="2009-02-10T00:00:00"/>
        <d v="2009-02-11T00:00:00"/>
        <d v="2009-02-12T00:00:00"/>
        <d v="2009-02-13T00:00:00"/>
        <d v="2009-02-17T00:00:00"/>
        <d v="2009-02-18T00:00:00"/>
        <d v="2009-02-19T00:00:00"/>
        <d v="2009-02-20T00:00:00"/>
        <d v="2009-02-23T00:00:00"/>
        <d v="2009-02-24T00:00:00"/>
        <d v="2009-02-25T00:00:00"/>
        <d v="2009-02-26T00:00:00"/>
        <d v="2009-02-27T00:00:00"/>
        <d v="2009-03-02T00:00:00"/>
        <d v="2009-03-03T00:00:00"/>
        <d v="2009-03-04T00:00:00"/>
        <d v="2009-03-05T00:00:00"/>
        <d v="2009-03-06T00:00:00"/>
        <d v="2009-03-09T00:00:00"/>
        <d v="2009-03-10T00:00:00"/>
        <d v="2009-03-11T00:00:00"/>
        <d v="2009-03-12T00:00:00"/>
        <d v="2009-03-13T00:00:00"/>
        <d v="2009-03-16T00:00:00"/>
        <d v="2009-03-17T00:00:00"/>
        <d v="2009-03-18T00:00:00"/>
        <d v="2009-03-19T00:00:00"/>
        <d v="2009-03-20T00:00:00"/>
        <d v="2009-03-23T00:00:00"/>
        <d v="2009-03-24T00:00:00"/>
        <d v="2009-03-25T00:00:00"/>
        <d v="2009-03-26T00:00:00"/>
        <d v="2009-03-27T00:00:00"/>
        <d v="2009-03-30T00:00:00"/>
        <d v="2009-03-31T00:00:00"/>
        <d v="2009-04-01T00:00:00"/>
        <d v="2009-04-02T00:00:00"/>
        <d v="2009-04-03T00:00:00"/>
        <d v="2009-04-06T00:00:00"/>
        <d v="2009-04-07T00:00:00"/>
        <d v="2009-04-08T00:00:00"/>
        <d v="2009-04-09T00:00:00"/>
        <d v="2009-04-13T00:00:00"/>
        <d v="2009-04-14T00:00:00"/>
        <d v="2009-04-15T00:00:00"/>
        <d v="2009-04-16T00:00:00"/>
        <d v="2009-04-17T00:00:00"/>
        <d v="2009-04-20T00:00:00"/>
        <d v="2009-04-21T00:00:00"/>
        <d v="2009-04-22T00:00:00"/>
        <d v="2009-04-23T00:00:00"/>
        <d v="2009-04-24T00:00:00"/>
        <d v="2009-04-27T00:00:00"/>
        <d v="2009-04-28T00:00:00"/>
        <d v="2009-04-29T00:00:00"/>
        <d v="2009-04-30T00:00:00"/>
        <d v="2009-05-01T00:00:00"/>
        <d v="2009-05-04T00:00:00"/>
        <d v="2009-05-05T00:00:00"/>
        <d v="2009-05-06T00:00:00"/>
        <d v="2009-05-07T00:00:00"/>
        <d v="2009-05-08T00:00:00"/>
        <d v="2009-05-11T00:00:00"/>
        <d v="2009-05-12T00:00:00"/>
        <d v="2009-05-13T00:00:00"/>
        <d v="2009-05-14T00:00:00"/>
        <d v="2009-05-15T00:00:00"/>
        <d v="2009-05-18T00:00:00"/>
        <d v="2009-05-19T00:00:00"/>
        <d v="2009-05-20T00:00:00"/>
        <d v="2009-05-21T00:00:00"/>
        <d v="2009-05-22T00:00:00"/>
        <d v="2009-05-26T00:00:00"/>
        <d v="2009-05-27T00:00:00"/>
        <d v="2009-05-28T00:00:00"/>
        <d v="2009-05-29T00:00:00"/>
        <d v="2009-06-01T00:00:00"/>
        <d v="2009-06-02T00:00:00"/>
        <d v="2009-06-03T00:00:00"/>
        <d v="2009-06-04T00:00:00"/>
        <d v="2009-06-05T00:00:00"/>
        <d v="2009-06-08T00:00:00"/>
        <d v="2009-06-09T00:00:00"/>
        <d v="2009-06-10T00:00:00"/>
        <d v="2009-06-11T00:00:00"/>
        <d v="2009-06-12T00:00:00"/>
        <d v="2009-06-15T00:00:00"/>
        <d v="2009-06-16T00:00:00"/>
        <d v="2009-06-17T00:00:00"/>
        <d v="2009-06-18T00:00:00"/>
        <d v="2009-06-19T00:00:00"/>
        <d v="2009-06-22T00:00:00"/>
        <d v="2009-06-23T00:00:00"/>
        <d v="2009-06-24T00:00:00"/>
        <d v="2009-06-25T00:00:00"/>
        <d v="2009-06-26T00:00:00"/>
        <d v="2009-06-29T00:00:00"/>
        <d v="2009-06-30T00:00:00"/>
        <d v="2009-07-01T00:00:00"/>
        <d v="2009-07-02T00:00:00"/>
        <d v="2009-07-06T00:00:00"/>
        <d v="2009-07-07T00:00:00"/>
        <d v="2009-07-08T00:00:00"/>
        <d v="2009-07-09T00:00:00"/>
        <d v="2009-07-10T00:00:00"/>
        <d v="2009-07-13T00:00:00"/>
        <d v="2009-07-14T00:00:00"/>
        <d v="2009-07-15T00:00:00"/>
        <d v="2009-07-16T00:00:00"/>
        <d v="2009-07-17T00:00:00"/>
        <d v="2009-07-20T00:00:00"/>
        <d v="2009-07-21T00:00:00"/>
        <d v="2009-07-22T00:00:00"/>
        <d v="2009-07-23T00:00:00"/>
        <d v="2009-07-24T00:00:00"/>
        <d v="2009-07-27T00:00:00"/>
        <d v="2009-07-28T00:00:00"/>
        <d v="2009-07-29T00:00:00"/>
        <d v="2009-07-30T00:00:00"/>
        <d v="2009-07-31T00:00:00"/>
        <d v="2009-08-03T00:00:00"/>
        <d v="2009-08-04T00:00:00"/>
        <d v="2009-08-05T00:00:00"/>
        <d v="2009-08-06T00:00:00"/>
        <d v="2009-08-07T00:00:00"/>
        <d v="2009-08-10T00:00:00"/>
        <d v="2009-08-11T00:00:00"/>
        <d v="2009-08-12T00:00:00"/>
        <d v="2009-08-13T00:00:00"/>
        <d v="2009-08-14T00:00:00"/>
        <d v="2009-08-17T00:00:00"/>
        <d v="2009-08-18T00:00:00"/>
        <d v="2009-08-19T00:00:00"/>
        <d v="2009-08-20T00:00:00"/>
        <d v="2009-08-21T00:00:00"/>
        <d v="2009-08-24T00:00:00"/>
        <d v="2009-08-25T00:00:00"/>
        <d v="2009-08-26T00:00:00"/>
        <d v="2009-08-27T00:00:00"/>
        <d v="2009-08-28T00:00:00"/>
        <d v="2009-08-31T00:00:00"/>
        <d v="2009-09-01T00:00:00"/>
        <d v="2009-09-02T00:00:00"/>
        <d v="2009-09-03T00:00:00"/>
        <d v="2009-09-04T00:00:00"/>
        <d v="2009-09-08T00:00:00"/>
        <d v="2009-09-09T00:00:00"/>
        <d v="2009-09-10T00:00:00"/>
        <d v="2009-09-11T00:00:00"/>
        <d v="2009-09-14T00:00:00"/>
        <d v="2009-09-15T00:00:00"/>
        <d v="2009-09-16T00:00:00"/>
        <d v="2009-09-17T00:00:00"/>
        <d v="2009-09-18T00:00:00"/>
        <d v="2009-09-21T00:00:00"/>
        <d v="2009-09-22T00:00:00"/>
        <d v="2009-09-23T00:00:00"/>
        <d v="2009-09-24T00:00:00"/>
        <d v="2009-09-25T00:00:00"/>
        <d v="2009-09-28T00:00:00"/>
        <d v="2009-09-29T00:00:00"/>
        <d v="2009-09-30T00:00:00"/>
        <d v="2009-10-01T00:00:00"/>
        <d v="2009-10-02T00:00:00"/>
        <d v="2009-10-05T00:00:00"/>
        <d v="2009-10-06T00:00:00"/>
        <d v="2009-10-07T00:00:00"/>
        <d v="2009-10-08T00:00:00"/>
        <d v="2009-10-09T00:00:00"/>
        <d v="2009-10-12T00:00:00"/>
        <d v="2009-10-13T00:00:00"/>
        <d v="2009-10-14T00:00:00"/>
        <d v="2009-10-15T00:00:00"/>
        <d v="2009-10-16T00:00:00"/>
        <d v="2009-10-19T00:00:00"/>
        <d v="2009-10-20T00:00:00"/>
        <d v="2009-10-21T00:00:00"/>
        <d v="2009-10-22T00:00:00"/>
        <d v="2009-10-23T00:00:00"/>
        <d v="2009-10-26T00:00:00"/>
        <d v="2009-10-27T00:00:00"/>
        <d v="2009-10-28T00:00:00"/>
        <d v="2009-10-29T00:00:00"/>
        <d v="2009-10-30T00:00:00"/>
        <d v="2009-11-02T00:00:00"/>
        <d v="2009-11-03T00:00:00"/>
        <d v="2009-11-04T00:00:00"/>
        <d v="2009-11-05T00:00:00"/>
        <d v="2009-11-06T00:00:00"/>
        <d v="2009-11-09T00:00:00"/>
        <d v="2009-11-10T00:00:00"/>
        <d v="2009-11-11T00:00:00"/>
        <d v="2009-11-12T00:00:00"/>
        <d v="2009-11-13T00:00:00"/>
        <d v="2009-11-16T00:00:00"/>
        <d v="2009-11-17T00:00:00"/>
        <d v="2009-11-18T00:00:00"/>
        <d v="2009-11-19T00:00:00"/>
        <d v="2009-11-20T00:00:00"/>
        <d v="2009-11-23T00:00:00"/>
        <d v="2009-11-24T00:00:00"/>
        <d v="2009-11-25T00:00:00"/>
        <d v="2009-11-27T00:00:00"/>
        <d v="2009-11-30T00:00:00"/>
        <d v="2009-12-01T00:00:00"/>
        <d v="2009-12-02T00:00:00"/>
        <d v="2009-12-03T00:00:00"/>
        <d v="2009-12-04T00:00:00"/>
        <d v="2009-12-07T00:00:00"/>
        <d v="2009-12-08T00:00:00"/>
        <d v="2009-12-09T00:00:00"/>
        <d v="2009-12-10T00:00:00"/>
        <d v="2009-12-11T00:00:00"/>
        <d v="2009-12-14T00:00:00"/>
        <d v="2009-12-15T00:00:00"/>
        <d v="2009-12-16T00:00:00"/>
        <d v="2009-12-17T00:00:00"/>
        <d v="2009-12-18T00:00:00"/>
        <d v="2009-12-21T00:00:00"/>
        <d v="2009-12-22T00:00:00"/>
        <d v="2009-12-23T00:00:00"/>
        <d v="2009-12-24T00:00:00"/>
        <d v="2009-12-28T00:00:00"/>
        <d v="2009-12-29T00:00:00"/>
        <d v="2009-12-30T00:00:00"/>
        <d v="2009-12-31T00:00:00"/>
        <d v="2010-01-04T00:00:00"/>
        <d v="2010-01-05T00:00:00"/>
        <d v="2010-01-06T00:00:00"/>
        <d v="2010-01-07T00:00:00"/>
        <d v="2010-01-08T00:00:00"/>
        <d v="2010-01-11T00:00:00"/>
        <d v="2010-01-12T00:00:00"/>
        <d v="2010-01-13T00:00:00"/>
        <d v="2010-01-14T00:00:00"/>
        <d v="2010-01-15T00:00:00"/>
        <d v="2010-01-19T00:00:00"/>
        <d v="2010-01-20T00:00:00"/>
        <d v="2010-01-21T00:00:00"/>
        <d v="2010-01-22T00:00:00"/>
        <d v="2010-01-25T00:00:00"/>
        <d v="2010-01-26T00:00:00"/>
        <d v="2010-01-27T00:00:00"/>
        <d v="2010-01-28T00:00:00"/>
        <d v="2010-01-29T00:00:00"/>
        <d v="2010-02-01T00:00:00"/>
        <d v="2010-02-02T00:00:00"/>
        <d v="2010-02-03T00:00:00"/>
        <d v="2010-02-04T00:00:00"/>
        <d v="2010-02-05T00:00:00"/>
        <d v="2010-02-08T00:00:00"/>
        <d v="2010-02-09T00:00:00"/>
        <d v="2010-02-10T00:00:00"/>
        <d v="2010-02-11T00:00:00"/>
        <d v="2010-02-12T00:00:00"/>
        <d v="2010-02-16T00:00:00"/>
        <d v="2010-02-17T00:00:00"/>
        <d v="2010-02-18T00:00:00"/>
        <d v="2010-02-19T00:00:00"/>
        <d v="2010-02-22T00:00:00"/>
        <d v="2010-02-23T00:00:00"/>
        <d v="2010-02-24T00:00:00"/>
        <d v="2010-02-25T00:00:00"/>
        <d v="2010-02-26T00:00:00"/>
        <d v="2010-03-01T00:00:00"/>
        <d v="2010-03-02T00:00:00"/>
        <d v="2010-03-03T00:00:00"/>
        <d v="2010-03-04T00:00:00"/>
        <d v="2010-03-05T00:00:00"/>
        <d v="2010-03-08T00:00:00"/>
        <d v="2010-03-09T00:00:00"/>
        <d v="2010-03-10T00:00:00"/>
        <d v="2010-03-11T00:00:00"/>
        <d v="2010-03-12T00:00:00"/>
        <d v="2010-03-15T00:00:00"/>
        <d v="2010-03-16T00:00:00"/>
        <d v="2010-03-17T00:00:00"/>
        <d v="2010-03-18T00:00:00"/>
        <d v="2010-03-19T00:00:00"/>
        <d v="2010-03-22T00:00:00"/>
        <d v="2010-03-23T00:00:00"/>
        <d v="2010-03-24T00:00:00"/>
        <d v="2010-03-25T00:00:00"/>
        <d v="2010-03-26T00:00:00"/>
        <d v="2010-03-29T00:00:00"/>
        <d v="2010-03-30T00:00:00"/>
        <d v="2010-03-31T00:00:00"/>
        <d v="2010-04-01T00:00:00"/>
        <d v="2010-04-05T00:00:00"/>
        <d v="2010-04-06T00:00:00"/>
        <d v="2010-04-07T00:00:00"/>
        <d v="2010-04-08T00:00:00"/>
        <d v="2010-04-09T00:00:00"/>
        <d v="2010-04-12T00:00:00"/>
        <d v="2010-04-13T00:00:00"/>
        <d v="2010-04-14T00:00:00"/>
        <d v="2010-04-15T00:00:00"/>
        <d v="2010-04-16T00:00:00"/>
        <d v="2010-04-19T00:00:00"/>
        <d v="2010-04-20T00:00:00"/>
        <d v="2010-04-21T00:00:00"/>
        <d v="2010-04-22T00:00:00"/>
        <d v="2010-04-23T00:00:00"/>
        <d v="2010-04-26T00:00:00"/>
        <d v="2010-04-27T00:00:00"/>
        <d v="2010-04-28T00:00:00"/>
        <d v="2010-04-29T00:00:00"/>
        <d v="2010-04-30T00:00:00"/>
        <d v="2010-05-03T00:00:00"/>
        <d v="2010-05-04T00:00:00"/>
        <d v="2010-05-05T00:00:00"/>
        <d v="2010-05-06T00:00:00"/>
        <d v="2010-05-07T00:00:00"/>
        <d v="2010-05-10T00:00:00"/>
        <d v="2010-05-11T00:00:00"/>
        <d v="2010-05-12T00:00:00"/>
        <d v="2010-05-13T00:00:00"/>
        <d v="2010-05-14T00:00:00"/>
        <d v="2010-05-17T00:00:00"/>
        <d v="2010-05-18T00:00:00"/>
        <d v="2010-05-19T00:00:00"/>
        <d v="2010-05-20T00:00:00"/>
        <d v="2010-05-21T00:00:00"/>
        <d v="2010-05-24T00:00:00"/>
        <d v="2010-05-25T00:00:00"/>
        <d v="2010-05-26T00:00:00"/>
        <d v="2010-05-27T00:00:00"/>
        <d v="2010-05-28T00:00:00"/>
        <d v="2010-06-01T00:00:00"/>
        <d v="2010-06-02T00:00:00"/>
        <d v="2010-06-03T00:00:00"/>
        <d v="2010-06-04T00:00:00"/>
        <d v="2010-06-07T00:00:00"/>
        <d v="2010-06-08T00:00:00"/>
        <d v="2010-06-09T00:00:00"/>
        <d v="2010-06-10T00:00:00"/>
        <d v="2010-06-11T00:00:00"/>
        <d v="2010-06-14T00:00:00"/>
        <d v="2010-06-15T00:00:00"/>
        <d v="2010-06-16T00:00:00"/>
        <d v="2010-06-17T00:00:00"/>
        <d v="2010-06-18T00:00:00"/>
        <d v="2010-06-21T00:00:00"/>
        <d v="2010-06-22T00:00:00"/>
        <d v="2010-06-23T00:00:00"/>
        <d v="2010-06-24T00:00:00"/>
        <d v="2010-06-25T00:00:00"/>
        <d v="2010-06-28T00:00:00"/>
        <d v="2010-06-29T00:00:00"/>
        <d v="2010-06-30T00:00:00"/>
        <d v="2010-07-01T00:00:00"/>
        <d v="2010-07-02T00:00:00"/>
        <d v="2010-07-06T00:00:00"/>
        <d v="2010-07-07T00:00:00"/>
        <d v="2010-07-08T00:00:00"/>
        <d v="2010-07-09T00:00:00"/>
        <d v="2010-07-12T00:00:00"/>
        <d v="2010-07-13T00:00:00"/>
        <d v="2010-07-14T00:00:00"/>
        <d v="2010-07-15T00:00:00"/>
        <d v="2010-07-16T00:00:00"/>
        <d v="2010-07-19T00:00:00"/>
        <d v="2010-07-20T00:00:00"/>
        <d v="2010-07-21T00:00:00"/>
        <d v="2010-07-22T00:00:00"/>
        <d v="2010-07-23T00:00:00"/>
        <d v="2010-07-26T00:00:00"/>
        <d v="2010-07-27T00:00:00"/>
        <d v="2010-07-28T00:00:00"/>
        <d v="2010-07-29T00:00:00"/>
        <d v="2010-07-30T00:00:00"/>
        <d v="2010-08-02T00:00:00"/>
        <d v="2010-08-03T00:00:00"/>
        <d v="2010-08-04T00:00:00"/>
        <d v="2010-08-05T00:00:00"/>
        <d v="2010-08-06T00:00:00"/>
        <d v="2010-08-09T00:00:00"/>
        <d v="2010-08-10T00:00:00"/>
        <d v="2010-08-11T00:00:00"/>
        <d v="2010-08-12T00:00:00"/>
        <d v="2010-08-13T00:00:00"/>
        <d v="2010-08-16T00:00:00"/>
        <d v="2010-08-17T00:00:00"/>
        <d v="2010-08-18T00:00:00"/>
        <d v="2010-08-19T00:00:00"/>
        <d v="2010-08-20T00:00:00"/>
        <d v="2010-08-23T00:00:00"/>
        <d v="2010-08-24T00:00:00"/>
        <d v="2010-08-25T00:00:00"/>
        <d v="2010-08-26T00:00:00"/>
        <d v="2010-08-27T00:00:00"/>
        <d v="2010-08-30T00:00:00"/>
        <d v="2010-08-31T00:00:00"/>
        <d v="2010-09-01T00:00:00"/>
        <d v="2010-09-02T00:00:00"/>
        <d v="2010-09-03T00:00:00"/>
        <d v="2010-09-07T00:00:00"/>
        <d v="2010-09-08T00:00:00"/>
        <d v="2010-09-09T00:00:00"/>
        <d v="2010-09-10T00:00:00"/>
        <d v="2010-09-13T00:00:00"/>
        <d v="2010-09-14T00:00:00"/>
        <d v="2010-09-15T00:00:00"/>
        <d v="2010-09-16T00:00:00"/>
        <d v="2010-09-17T00:00:00"/>
        <d v="2010-09-20T00:00:00"/>
        <d v="2010-09-21T00:00:00"/>
        <d v="2010-09-22T00:00:00"/>
        <d v="2010-09-23T00:00:00"/>
        <d v="2010-09-24T00:00:00"/>
        <d v="2010-09-27T00:00:00"/>
        <d v="2010-09-28T00:00:00"/>
        <d v="2010-09-29T00:00:00"/>
        <d v="2010-09-30T00:00:00"/>
        <d v="2010-10-01T00:00:00"/>
        <d v="2010-10-04T00:00:00"/>
        <d v="2010-10-05T00:00:00"/>
        <d v="2010-10-06T00:00:00"/>
        <d v="2010-10-07T00:00:00"/>
        <d v="2010-10-08T00:00:00"/>
        <d v="2010-10-11T00:00:00"/>
        <d v="2010-10-12T00:00:00"/>
        <d v="2010-10-13T00:00:00"/>
        <d v="2010-10-14T00:00:00"/>
        <d v="2010-10-15T00:00:00"/>
        <d v="2010-10-18T00:00:00"/>
        <d v="2010-10-19T00:00:00"/>
        <d v="2010-10-20T00:00:00"/>
        <d v="2010-10-21T00:00:00"/>
        <d v="2010-10-22T00:00:00"/>
        <d v="2010-10-25T00:00:00"/>
        <d v="2010-10-26T00:00:00"/>
        <d v="2010-10-27T00:00:00"/>
        <d v="2010-10-28T00:00:00"/>
        <d v="2010-10-29T00:00:00"/>
        <d v="2010-11-01T00:00:00"/>
        <d v="2010-11-02T00:00:00"/>
        <d v="2010-11-03T00:00:00"/>
        <d v="2010-11-04T00:00:00"/>
        <d v="2010-11-05T00:00:00"/>
        <d v="2010-11-08T00:00:00"/>
        <d v="2010-11-09T00:00:00"/>
        <d v="2010-11-10T00:00:00"/>
        <d v="2010-11-11T00:00:00"/>
        <d v="2010-11-12T00:00:00"/>
        <d v="2010-11-15T00:00:00"/>
        <d v="2010-11-16T00:00:00"/>
        <d v="2010-11-17T00:00:00"/>
        <d v="2010-11-18T00:00:00"/>
        <d v="2010-11-19T00:00:00"/>
        <d v="2010-11-22T00:00:00"/>
        <d v="2010-11-23T00:00:00"/>
        <d v="2010-11-24T00:00:00"/>
        <d v="2010-11-26T00:00:00"/>
        <d v="2010-11-29T00:00:00"/>
        <d v="2010-11-30T00:00:00"/>
        <d v="2010-12-01T00:00:00"/>
        <d v="2010-12-02T00:00:00"/>
        <d v="2010-12-03T00:00:00"/>
        <d v="2010-12-06T00:00:00"/>
        <d v="2010-12-07T00:00:00"/>
        <d v="2010-12-08T00:00:00"/>
        <d v="2010-12-09T00:00:00"/>
        <d v="2010-12-10T00:00:00"/>
        <d v="2010-12-13T00:00:00"/>
        <d v="2010-12-14T00:00:00"/>
        <d v="2010-12-15T00:00:00"/>
        <d v="2010-12-16T00:00:00"/>
        <d v="2010-12-17T00:00:00"/>
        <d v="2010-12-20T00:00:00"/>
        <d v="2010-12-21T00:00:00"/>
        <d v="2010-12-22T00:00:00"/>
        <d v="2010-12-23T00:00:00"/>
        <d v="2010-12-27T00:00:00"/>
        <d v="2010-12-28T00:00:00"/>
        <d v="2010-12-29T00:00:00"/>
        <d v="2010-12-30T00:00:00"/>
        <d v="2010-12-31T00:00:00"/>
        <d v="2011-01-03T00:00:00"/>
        <d v="2011-01-04T00:00:00"/>
        <d v="2011-01-05T00:00:00"/>
        <d v="2011-01-06T00:00:00"/>
        <d v="2011-01-07T00:00:00"/>
        <d v="2011-01-10T00:00:00"/>
        <d v="2011-01-11T00:00:00"/>
        <d v="2011-01-12T00:00:00"/>
        <d v="2011-01-13T00:00:00"/>
        <d v="2011-01-14T00:00:00"/>
        <d v="2011-01-18T00:00:00"/>
        <d v="2011-01-19T00:00:00"/>
        <d v="2011-01-20T00:00:00"/>
        <d v="2011-01-21T00:00:00"/>
        <d v="2011-01-24T00:00:00"/>
        <d v="2011-01-25T00:00:00"/>
        <d v="2011-01-26T00:00:00"/>
        <d v="2011-01-27T00:00:00"/>
        <d v="2011-01-28T00:00:00"/>
        <d v="2011-01-31T00:00:00"/>
        <d v="2011-02-01T00:00:00"/>
        <d v="2011-02-02T00:00:00"/>
        <d v="2011-02-03T00:00:00"/>
        <d v="2011-02-04T00:00:00"/>
        <d v="2011-02-07T00:00:00"/>
        <d v="2011-02-08T00:00:00"/>
        <d v="2011-02-09T00:00:00"/>
        <d v="2011-02-10T00:00:00"/>
        <d v="2011-02-11T00:00:00"/>
        <d v="2011-02-14T00:00:00"/>
        <d v="2011-02-15T00:00:00"/>
        <d v="2011-02-16T00:00:00"/>
        <d v="2011-02-17T00:00:00"/>
        <d v="2011-02-18T00:00:00"/>
        <d v="2011-02-22T00:00:00"/>
        <d v="2011-02-23T00:00:00"/>
        <d v="2011-02-24T00:00:00"/>
        <d v="2011-02-25T00:00:00"/>
        <d v="2011-02-28T00:00:00"/>
        <d v="2011-03-01T00:00:00"/>
        <d v="2011-03-02T00:00:00"/>
        <d v="2011-03-03T00:00:00"/>
        <d v="2011-03-04T00:00:00"/>
        <d v="2011-03-07T00:00:00"/>
        <d v="2011-03-08T00:00:00"/>
        <d v="2011-03-09T00:00:00"/>
        <d v="2011-03-10T00:00:00"/>
        <d v="2011-03-11T00:00:00"/>
        <d v="2011-03-14T00:00:00"/>
        <d v="2011-03-15T00:00:00"/>
        <d v="2011-03-16T00:00:00"/>
        <d v="2011-03-17T00:00:00"/>
        <d v="2011-03-18T00:00:00"/>
        <d v="2011-03-21T00:00:00"/>
        <d v="2011-03-22T00:00:00"/>
        <d v="2011-03-23T00:00:00"/>
        <d v="2011-03-24T00:00:00"/>
        <d v="2011-03-25T00:00:00"/>
        <d v="2011-03-28T00:00:00"/>
        <d v="2011-03-29T00:00:00"/>
        <d v="2011-03-30T00:00:00"/>
        <d v="2011-03-31T00:00:00"/>
        <d v="2011-04-01T00:00:00"/>
        <d v="2011-04-04T00:00:00"/>
        <d v="2011-04-05T00:00:00"/>
        <d v="2011-04-06T00:00:00"/>
        <d v="2011-04-07T00:00:00"/>
        <d v="2011-04-08T00:00:00"/>
        <d v="2011-04-11T00:00:00"/>
        <d v="2011-04-12T00:00:00"/>
        <d v="2011-04-13T00:00:00"/>
        <d v="2011-04-14T00:00:00"/>
        <d v="2011-04-15T00:00:00"/>
        <d v="2011-04-18T00:00:00"/>
        <d v="2011-04-19T00:00:00"/>
        <d v="2011-04-20T00:00:00"/>
        <d v="2011-04-21T00:00:00"/>
        <d v="2011-04-25T00:00:00"/>
        <d v="2011-04-26T00:00:00"/>
        <d v="2011-04-27T00:00:00"/>
        <d v="2011-04-28T00:00:00"/>
        <d v="2011-04-29T00:00:00"/>
        <d v="2011-05-02T00:00:00"/>
        <d v="2011-05-03T00:00:00"/>
        <d v="2011-05-04T00:00:00"/>
        <d v="2011-05-05T00:00:00"/>
        <d v="2011-05-06T00:00:00"/>
        <d v="2011-05-09T00:00:00"/>
        <d v="2011-05-10T00:00:00"/>
        <d v="2011-05-11T00:00:00"/>
        <d v="2011-05-12T00:00:00"/>
        <d v="2011-05-13T00:00:00"/>
        <d v="2011-05-16T00:00:00"/>
        <d v="2011-05-17T00:00:00"/>
        <d v="2011-05-18T00:00:00"/>
        <d v="2011-05-19T00:00:00"/>
        <d v="2011-05-20T00:00:00"/>
        <d v="2011-05-23T00:00:00"/>
        <d v="2011-05-24T00:00:00"/>
        <d v="2011-05-25T00:00:00"/>
        <d v="2011-05-26T00:00:00"/>
        <d v="2011-05-27T00:00:00"/>
        <d v="2011-05-31T00:00:00"/>
        <d v="2011-06-01T00:00:00"/>
        <d v="2011-06-02T00:00:00"/>
        <d v="2011-06-03T00:00:00"/>
        <d v="2011-06-06T00:00:00"/>
        <d v="2011-06-07T00:00:00"/>
        <d v="2011-06-08T00:00:00"/>
        <d v="2011-06-09T00:00:00"/>
        <d v="2011-06-10T00:00:00"/>
        <d v="2011-06-13T00:00:00"/>
        <d v="2011-06-14T00:00:00"/>
        <d v="2011-06-15T00:00:00"/>
        <d v="2011-06-16T00:00:00"/>
        <d v="2011-06-17T00:00:00"/>
        <d v="2011-06-20T00:00:00"/>
        <d v="2011-06-21T00:00:00"/>
        <d v="2011-06-22T00:00:00"/>
        <d v="2011-06-23T00:00:00"/>
        <d v="2011-06-24T00:00:00"/>
        <d v="2011-06-27T00:00:00"/>
        <d v="2011-06-28T00:00:00"/>
        <d v="2011-06-29T00:00:00"/>
        <d v="2011-06-30T00:00:00"/>
        <d v="2011-07-01T00:00:00"/>
        <d v="2011-07-05T00:00:00"/>
        <d v="2011-07-06T00:00:00"/>
        <d v="2011-07-07T00:00:00"/>
        <d v="2011-07-08T00:00:00"/>
        <d v="2011-07-11T00:00:00"/>
        <d v="2011-07-12T00:00:00"/>
        <d v="2011-07-13T00:00:00"/>
        <d v="2011-07-14T00:00:00"/>
        <d v="2011-07-15T00:00:00"/>
        <d v="2011-07-18T00:00:00"/>
        <d v="2011-07-19T00:00:00"/>
        <d v="2011-07-20T00:00:00"/>
        <d v="2011-07-21T00:00:00"/>
        <d v="2011-07-22T00:00:00"/>
        <d v="2011-07-25T00:00:00"/>
        <d v="2011-07-26T00:00:00"/>
        <d v="2011-07-27T00:00:00"/>
        <d v="2011-07-28T00:00:00"/>
        <d v="2011-07-29T00:00:00"/>
        <d v="2011-08-01T00:00:00"/>
        <d v="2011-08-02T00:00:00"/>
        <d v="2011-08-03T00:00:00"/>
        <d v="2011-08-04T00:00:00"/>
        <d v="2011-08-05T00:00:00"/>
        <d v="2011-08-08T00:00:00"/>
        <d v="2011-08-09T00:00:00"/>
        <d v="2011-08-10T00:00:00"/>
        <d v="2011-08-11T00:00:00"/>
        <d v="2011-08-12T00:00:00"/>
        <d v="2011-08-15T00:00:00"/>
        <d v="2011-08-16T00:00:00"/>
        <d v="2011-08-17T00:00:00"/>
        <d v="2011-08-18T00:00:00"/>
        <d v="2011-08-19T00:00:00"/>
        <d v="2011-08-22T00:00:00"/>
        <d v="2011-08-23T00:00:00"/>
        <d v="2011-08-24T00:00:00"/>
        <d v="2011-08-25T00:00:00"/>
        <d v="2011-08-26T00:00:00"/>
        <d v="2011-08-29T00:00:00"/>
        <d v="2011-08-30T00:00:00"/>
        <d v="2011-08-31T00:00:00"/>
        <d v="2011-09-01T00:00:00"/>
        <d v="2011-09-02T00:00:00"/>
        <d v="2011-09-06T00:00:00"/>
        <d v="2011-09-07T00:00:00"/>
        <d v="2011-09-08T00:00:00"/>
        <d v="2011-09-09T00:00:00"/>
        <d v="2011-09-12T00:00:00"/>
        <d v="2011-09-13T00:00:00"/>
        <d v="2011-09-14T00:00:00"/>
        <d v="2011-09-15T00:00:00"/>
        <d v="2011-09-16T00:00:00"/>
        <d v="2011-09-19T00:00:00"/>
        <d v="2011-09-20T00:00:00"/>
        <d v="2011-09-21T00:00:00"/>
        <d v="2011-09-22T00:00:00"/>
        <d v="2011-09-23T00:00:00"/>
        <d v="2011-09-26T00:00:00"/>
        <d v="2011-09-27T00:00:00"/>
        <d v="2011-09-28T00:00:00"/>
        <d v="2011-09-29T00:00:00"/>
        <d v="2011-09-30T00:00:00"/>
        <d v="2011-10-03T00:00:00"/>
        <d v="2011-10-04T00:00:00"/>
        <d v="2011-10-05T00:00:00"/>
        <d v="2011-10-06T00:00:00"/>
        <d v="2011-10-07T00:00:00"/>
        <d v="2011-10-10T00:00:00"/>
        <d v="2011-10-11T00:00:00"/>
        <d v="2011-10-12T00:00:00"/>
        <d v="2011-10-13T00:00:00"/>
        <d v="2011-10-14T00:00:00"/>
        <d v="2011-10-17T00:00:00"/>
        <d v="2011-10-18T00:00:00"/>
        <d v="2011-10-19T00:00:00"/>
        <d v="2011-10-20T00:00:00"/>
        <d v="2011-10-21T00:00:00"/>
        <d v="2011-10-24T00:00:00"/>
        <d v="2011-10-25T00:00:00"/>
        <d v="2011-10-26T00:00:00"/>
        <d v="2011-10-27T00:00:00"/>
        <d v="2011-10-28T00:00:00"/>
        <d v="2011-10-31T00:00:00"/>
        <d v="2011-11-01T00:00:00"/>
        <d v="2011-11-02T00:00:00"/>
        <d v="2011-11-03T00:00:00"/>
        <d v="2011-11-04T00:00:00"/>
        <d v="2011-11-07T00:00:00"/>
        <d v="2011-11-08T00:00:00"/>
        <d v="2011-11-09T00:00:00"/>
        <d v="2011-11-10T00:00:00"/>
        <d v="2011-11-11T00:00:00"/>
        <d v="2011-11-14T00:00:00"/>
        <d v="2011-11-15T00:00:00"/>
        <d v="2011-11-16T00:00:00"/>
        <d v="2011-11-17T00:00:00"/>
        <d v="2011-11-18T00:00:00"/>
        <d v="2011-11-21T00:00:00"/>
        <d v="2011-11-22T00:00:00"/>
        <d v="2011-11-23T00:00:00"/>
        <d v="2011-11-25T00:00:00"/>
        <d v="2011-11-28T00:00:00"/>
        <d v="2011-11-29T00:00:00"/>
        <d v="2011-11-30T00:00:00"/>
        <d v="2011-12-01T00:00:00"/>
        <d v="2011-12-02T00:00:00"/>
        <d v="2011-12-05T00:00:00"/>
        <d v="2011-12-06T00:00:00"/>
        <d v="2011-12-07T00:00:00"/>
        <d v="2011-12-08T00:00:00"/>
        <d v="2011-12-09T00:00:00"/>
        <d v="2011-12-12T00:00:00"/>
        <d v="2011-12-13T00:00:00"/>
        <d v="2011-12-14T00:00:00"/>
        <d v="2011-12-15T00:00:00"/>
        <d v="2011-12-16T00:00:00"/>
        <d v="2011-12-19T00:00:00"/>
        <d v="2011-12-20T00:00:00"/>
        <d v="2011-12-21T00:00:00"/>
        <d v="2011-12-22T00:00:00"/>
        <d v="2011-12-23T00:00:00"/>
        <d v="2011-12-27T00:00:00"/>
        <d v="2011-12-28T00:00:00"/>
        <d v="2011-12-29T00:00:00"/>
        <d v="2011-12-30T00:00:00"/>
        <d v="2012-01-03T00:00:00"/>
        <d v="2012-01-04T00:00:00"/>
        <d v="2012-01-05T00:00:00"/>
        <d v="2012-01-06T00:00:00"/>
        <d v="2012-01-09T00:00:00"/>
        <d v="2012-01-10T00:00:00"/>
        <d v="2012-01-11T00:00:00"/>
        <d v="2012-01-12T00:00:00"/>
        <d v="2012-01-13T00:00:00"/>
        <d v="2012-01-17T00:00:00"/>
        <d v="2012-01-18T00:00:00"/>
        <d v="2012-01-19T00:00:00"/>
        <d v="2012-01-20T00:00:00"/>
        <d v="2012-01-23T00:00:00"/>
        <d v="2012-01-24T00:00:00"/>
        <d v="2012-01-25T00:00:00"/>
        <d v="2012-01-26T00:00:00"/>
        <d v="2012-01-27T00:00:00"/>
        <d v="2012-01-30T00:00:00"/>
        <d v="2012-01-31T00:00:00"/>
        <d v="2012-02-01T00:00:00"/>
        <d v="2012-02-02T00:00:00"/>
        <d v="2012-02-03T00:00:00"/>
        <d v="2012-02-06T00:00:00"/>
        <d v="2012-02-07T00:00:00"/>
        <d v="2012-02-08T00:00:00"/>
        <d v="2012-02-09T00:00:00"/>
        <d v="2012-02-10T00:00:00"/>
        <d v="2012-02-13T00:00:00"/>
        <d v="2012-02-14T00:00:00"/>
        <d v="2012-02-15T00:00:00"/>
        <d v="2012-02-16T00:00:00"/>
        <d v="2012-02-17T00:00:00"/>
        <d v="2012-02-21T00:00:00"/>
        <d v="2012-02-22T00:00:00"/>
        <d v="2012-02-23T00:00:00"/>
        <d v="2012-02-24T00:00:00"/>
        <d v="2012-02-27T00:00:00"/>
        <d v="2012-02-28T00:00:00"/>
        <d v="2012-02-29T00:00:00"/>
        <d v="2012-03-01T00:00:00"/>
        <d v="2012-03-02T00:00:00"/>
        <d v="2012-03-05T00:00:00"/>
        <d v="2012-03-06T00:00:00"/>
        <d v="2012-03-07T00:00:00"/>
        <d v="2012-03-08T00:00:00"/>
        <d v="2012-03-09T00:00:00"/>
        <d v="2012-03-12T00:00:00"/>
        <d v="2012-03-13T00:00:00"/>
        <d v="2012-03-14T00:00:00"/>
        <d v="2012-03-15T00:00:00"/>
        <d v="2012-03-16T00:00:00"/>
        <d v="2012-03-19T00:00:00"/>
        <d v="2012-03-20T00:00:00"/>
        <d v="2012-03-21T00:00:00"/>
        <d v="2012-03-22T00:00:00"/>
        <d v="2012-03-23T00:00:00"/>
        <d v="2012-03-26T00:00:00"/>
        <d v="2012-03-27T00:00:00"/>
        <d v="2012-03-28T00:00:00"/>
        <d v="2012-03-29T00:00:00"/>
        <d v="2012-03-30T00:00:00"/>
        <d v="2012-04-02T00:00:00"/>
        <d v="2012-04-03T00:00:00"/>
        <d v="2012-04-04T00:00:00"/>
        <d v="2012-04-05T00:00:00"/>
        <d v="2012-04-09T00:00:00"/>
        <d v="2012-04-10T00:00:00"/>
        <d v="2012-04-11T00:00:00"/>
        <d v="2012-04-12T00:00:00"/>
        <d v="2012-04-13T00:00:00"/>
        <d v="2012-04-16T00:00:00"/>
        <d v="2012-04-17T00:00:00"/>
        <d v="2012-04-18T00:00:00"/>
        <d v="2012-04-19T00:00:00"/>
        <d v="2012-04-20T00:00:00"/>
        <d v="2012-04-23T00:00:00"/>
        <d v="2012-04-24T00:00:00"/>
        <d v="2012-04-25T00:00:00"/>
        <d v="2012-04-26T00:00:00"/>
        <d v="2012-04-27T00:00:00"/>
        <d v="2012-04-30T00:00:00"/>
        <d v="2012-05-01T00:00:00"/>
        <d v="2012-05-02T00:00:00"/>
        <d v="2012-05-03T00:00:00"/>
        <d v="2012-05-04T00:00:00"/>
        <d v="2012-05-07T00:00:00"/>
        <d v="2012-05-08T00:00:00"/>
        <d v="2012-05-09T00:00:00"/>
        <d v="2012-05-10T00:00:00"/>
        <d v="2012-05-11T00:00:00"/>
        <d v="2012-05-14T00:00:00"/>
        <d v="2012-05-15T00:00:00"/>
        <d v="2012-05-16T00:00:00"/>
        <d v="2012-05-17T00:00:00"/>
        <d v="2012-05-18T00:00:00"/>
        <d v="2012-05-21T00:00:00"/>
        <d v="2012-05-22T00:00:00"/>
        <d v="2012-05-23T00:00:00"/>
        <d v="2012-05-24T00:00:00"/>
        <d v="2012-05-25T00:00:00"/>
        <d v="2012-05-29T00:00:00"/>
        <d v="2012-05-30T00:00:00"/>
        <d v="2012-05-31T00:00:00"/>
        <d v="2012-06-01T00:00:00"/>
        <d v="2012-06-04T00:00:00"/>
        <d v="2012-06-05T00:00:00"/>
        <d v="2012-06-06T00:00:00"/>
        <d v="2012-06-07T00:00:00"/>
        <d v="2012-06-08T00:00:00"/>
        <d v="2012-06-11T00:00:00"/>
        <d v="2012-06-12T00:00:00"/>
        <d v="2012-06-13T00:00:00"/>
        <d v="2012-06-14T00:00:00"/>
        <d v="2012-06-15T00:00:00"/>
        <d v="2012-06-18T00:00:00"/>
        <d v="2012-06-19T00:00:00"/>
        <d v="2012-06-20T00:00:00"/>
        <d v="2012-06-21T00:00:00"/>
        <d v="2012-06-22T00:00:00"/>
        <d v="2012-06-25T00:00:00"/>
        <d v="2012-06-26T00:00:00"/>
        <d v="2012-06-27T00:00:00"/>
        <d v="2012-06-28T00:00:00"/>
        <d v="2012-06-29T00:00:00"/>
        <d v="2012-07-02T00:00:00"/>
        <d v="2012-07-03T00:00:00"/>
        <d v="2012-07-05T00:00:00"/>
        <d v="2012-07-06T00:00:00"/>
        <d v="2012-07-09T00:00:00"/>
        <d v="2012-07-10T00:00:00"/>
        <d v="2012-07-11T00:00:00"/>
        <d v="2012-07-12T00:00:00"/>
        <d v="2012-07-13T00:00:00"/>
        <d v="2012-07-16T00:00:00"/>
        <d v="2012-07-17T00:00:00"/>
        <d v="2012-07-18T00:00:00"/>
        <d v="2012-07-19T00:00:00"/>
        <d v="2012-07-20T00:00:00"/>
        <d v="2012-07-23T00:00:00"/>
        <d v="2012-07-24T00:00:00"/>
        <d v="2012-07-25T00:00:00"/>
        <d v="2012-07-26T00:00:00"/>
        <d v="2012-07-27T00:00:00"/>
        <d v="2012-07-30T00:00:00"/>
        <d v="2012-07-31T00:00:00"/>
        <d v="2012-08-01T00:00:00"/>
        <d v="2012-08-02T00:00:00"/>
        <d v="2012-08-03T00:00:00"/>
        <d v="2012-08-06T00:00:00"/>
        <d v="2012-08-07T00:00:00"/>
        <d v="2012-08-08T00:00:00"/>
        <d v="2012-08-09T00:00:00"/>
        <d v="2012-08-10T00:00:00"/>
        <d v="2012-08-13T00:00:00"/>
        <d v="2012-08-14T00:00:00"/>
        <d v="2012-08-15T00:00:00"/>
        <d v="2012-08-16T00:00:00"/>
        <d v="2012-08-17T00:00:00"/>
        <d v="2012-08-20T00:00:00"/>
        <d v="2012-08-21T00:00:00"/>
        <d v="2012-08-22T00:00:00"/>
        <d v="2012-08-23T00:00:00"/>
        <d v="2012-08-24T00:00:00"/>
        <d v="2012-08-27T00:00:00"/>
        <d v="2012-08-28T00:00:00"/>
        <d v="2012-08-29T00:00:00"/>
        <d v="2012-08-30T00:00:00"/>
        <d v="2012-08-31T00:00:00"/>
        <d v="2012-09-04T00:00:00"/>
        <d v="2012-09-05T00:00:00"/>
        <d v="2012-09-06T00:00:00"/>
        <d v="2012-09-07T00:00:00"/>
        <d v="2012-09-10T00:00:00"/>
        <d v="2012-09-11T00:00:00"/>
        <d v="2012-09-12T00:00:00"/>
        <d v="2012-09-13T00:00:00"/>
        <d v="2012-09-14T00:00:00"/>
        <d v="2012-09-17T00:00:00"/>
        <d v="2012-09-18T00:00:00"/>
        <d v="2012-09-19T00:00:00"/>
        <d v="2012-09-20T00:00:00"/>
        <d v="2012-09-21T00:00:00"/>
        <d v="2012-09-24T00:00:00"/>
        <d v="2012-09-25T00:00:00"/>
        <d v="2012-09-26T00:00:00"/>
        <d v="2012-09-27T00:00:00"/>
        <d v="2012-09-28T00:00:00"/>
        <d v="2012-10-01T00:00:00"/>
        <d v="2012-10-02T00:00:00"/>
        <d v="2012-10-03T00:00:00"/>
        <d v="2012-10-04T00:00:00"/>
        <d v="2012-10-05T00:00:00"/>
        <d v="2012-10-08T00:00:00"/>
        <d v="2012-10-09T00:00:00"/>
        <d v="2012-10-10T00:00:00"/>
        <d v="2012-10-11T00:00:00"/>
        <d v="2012-10-12T00:00:00"/>
        <d v="2012-10-15T00:00:00"/>
        <d v="2012-10-16T00:00:00"/>
        <d v="2012-10-17T00:00:00"/>
        <d v="2012-10-18T00:00:00"/>
        <d v="2012-10-19T00:00:00"/>
        <d v="2012-10-22T00:00:00"/>
        <d v="2012-10-23T00:00:00"/>
        <d v="2012-10-24T00:00:00"/>
        <d v="2012-10-25T00:00:00"/>
        <d v="2012-10-26T00:00:00"/>
        <d v="2012-10-31T00:00:00"/>
        <d v="2012-11-01T00:00:00"/>
        <d v="2012-11-02T00:00:00"/>
        <d v="2012-11-05T00:00:00"/>
        <d v="2012-11-06T00:00:00"/>
        <d v="2012-11-07T00:00:00"/>
        <d v="2012-11-08T00:00:00"/>
        <d v="2012-11-09T00:00:00"/>
        <d v="2012-11-12T00:00:00"/>
        <d v="2012-11-13T00:00:00"/>
        <d v="2012-11-14T00:00:00"/>
        <d v="2012-11-15T00:00:00"/>
        <d v="2012-11-16T00:00:00"/>
        <d v="2012-11-19T00:00:00"/>
        <d v="2012-11-20T00:00:00"/>
        <d v="2012-11-21T00:00:00"/>
        <d v="2012-11-23T00:00:00"/>
        <d v="2012-11-26T00:00:00"/>
        <d v="2012-11-27T00:00:00"/>
        <d v="2012-11-28T00:00:00"/>
        <d v="2012-11-29T00:00:00"/>
        <d v="2012-11-30T00:00:00"/>
        <d v="2012-12-03T00:00:00"/>
        <d v="2012-12-04T00:00:00"/>
        <d v="2012-12-05T00:00:00"/>
        <d v="2012-12-06T00:00:00"/>
        <d v="2012-12-07T00:00:00"/>
        <d v="2012-12-10T00:00:00"/>
        <d v="2012-12-11T00:00:00"/>
        <d v="2012-12-12T00:00:00"/>
        <d v="2012-12-13T00:00:00"/>
        <d v="2012-12-14T00:00:00"/>
        <d v="2012-12-17T00:00:00"/>
        <d v="2012-12-18T00:00:00"/>
        <d v="2012-12-19T00:00:00"/>
        <d v="2012-12-20T00:00:00"/>
        <d v="2012-12-21T00:00:00"/>
        <d v="2012-12-24T00:00:00"/>
        <d v="2012-12-26T00:00:00"/>
        <d v="2012-12-27T00:00:00"/>
        <d v="2012-12-28T00:00:00"/>
        <d v="2012-12-31T00:00:00"/>
        <d v="2013-01-02T00:00:00"/>
        <d v="2013-01-03T00:00:00"/>
        <d v="2013-01-04T00:00:00"/>
        <d v="2013-01-07T00:00:00"/>
        <d v="2013-01-08T00:00:00"/>
        <d v="2013-01-09T00:00:00"/>
        <d v="2013-01-10T00:00:00"/>
        <d v="2013-01-11T00:00:00"/>
        <d v="2013-01-14T00:00:00"/>
        <d v="2013-01-15T00:00:00"/>
        <d v="2013-01-16T00:00:00"/>
        <d v="2013-01-17T00:00:00"/>
        <d v="2013-01-18T00:00:00"/>
        <d v="2013-01-22T00:00:00"/>
        <d v="2013-01-23T00:00:00"/>
        <d v="2013-01-24T00:00:00"/>
        <d v="2013-01-25T00:00:00"/>
        <d v="2013-01-28T00:00:00"/>
        <d v="2013-01-29T00:00:00"/>
        <d v="2013-01-30T00:00:00"/>
        <d v="2013-01-31T00:00:00"/>
        <d v="2013-02-01T00:00:00"/>
        <d v="2013-02-04T00:00:00"/>
        <d v="2013-02-05T00:00:00"/>
        <d v="2013-02-06T00:00:00"/>
        <d v="2013-02-07T00:00:00"/>
        <d v="2013-02-08T00:00:00"/>
        <d v="2013-02-11T00:00:00"/>
        <d v="2013-02-12T00:00:00"/>
        <d v="2013-02-13T00:00:00"/>
        <d v="2013-02-14T00:00:00"/>
        <d v="2013-02-15T00:00:00"/>
        <d v="2013-02-19T00:00:00"/>
        <d v="2013-02-20T00:00:00"/>
        <d v="2013-02-21T00:00:00"/>
        <d v="2013-02-22T00:00:00"/>
        <d v="2013-02-25T00:00:00"/>
        <d v="2013-02-26T00:00:00"/>
        <d v="2013-02-27T00:00:00"/>
        <d v="2013-02-28T00:00:00"/>
        <d v="2013-03-01T00:00:00"/>
        <d v="2013-03-04T00:00:00"/>
        <d v="2013-03-05T00:00:00"/>
        <d v="2013-03-06T00:00:00"/>
        <d v="2013-03-07T00:00:00"/>
        <d v="2013-03-08T00:00:00"/>
        <d v="2013-03-11T00:00:00"/>
        <d v="2013-03-12T00:00:00"/>
        <d v="2013-03-13T00:00:00"/>
        <d v="2013-03-14T00:00:00"/>
        <d v="2013-03-15T00:00:00"/>
        <d v="2013-03-18T00:00:00"/>
        <d v="2013-03-19T00:00:00"/>
        <d v="2013-03-20T00:00:00"/>
        <d v="2013-03-21T00:00:00"/>
        <d v="2013-03-22T00:00:00"/>
        <d v="2013-03-25T00:00:00"/>
        <d v="2013-03-26T00:00:00"/>
        <d v="2013-03-27T00:00:00"/>
        <d v="2013-03-28T00:00:00"/>
        <d v="2013-04-01T00:00:00"/>
        <d v="2013-04-02T00:00:00"/>
        <d v="2013-04-03T00:00:00"/>
        <d v="2013-04-04T00:00:00"/>
        <d v="2013-04-05T00:00:00"/>
        <d v="2013-04-08T00:00:00"/>
        <d v="2013-04-09T00:00:00"/>
        <d v="2013-04-10T00:00:00"/>
        <d v="2013-04-11T00:00:00"/>
        <d v="2013-04-12T00:00:00"/>
        <d v="2013-04-15T00:00:00"/>
        <d v="2013-04-16T00:00:00"/>
        <d v="2013-04-17T00:00:00"/>
        <d v="2013-04-18T00:00:00"/>
        <d v="2013-04-19T00:00:00"/>
        <d v="2013-04-22T00:00:00"/>
        <d v="2013-04-23T00:00:00"/>
        <d v="2013-04-24T00:00:00"/>
        <d v="2013-04-25T00:00:00"/>
        <d v="2013-04-26T00:00:00"/>
        <d v="2013-04-29T00:00:00"/>
        <d v="2013-04-30T00:00:00"/>
        <d v="2013-05-01T00:00:00"/>
        <d v="2013-05-02T00:00:00"/>
        <d v="2013-05-03T00:00:00"/>
        <d v="2013-05-06T00:00:00"/>
        <d v="2013-05-07T00:00:00"/>
        <d v="2013-05-08T00:00:00"/>
        <d v="2013-05-09T00:00:00"/>
        <d v="2013-05-10T00:00:00"/>
        <d v="2013-05-13T00:00:00"/>
        <d v="2013-05-14T00:00:00"/>
        <d v="2013-05-15T00:00:00"/>
        <d v="2013-05-16T00:00:00"/>
        <d v="2013-05-17T00:00:00"/>
        <d v="2013-05-20T00:00:00"/>
        <d v="2013-05-21T00:00:00"/>
        <d v="2013-05-22T00:00:00"/>
        <d v="2013-05-23T00:00:00"/>
        <d v="2013-05-24T00:00:00"/>
        <d v="2013-05-28T00:00:00"/>
        <d v="2013-05-29T00:00:00"/>
        <d v="2013-05-30T00:00:00"/>
        <d v="2013-05-31T00:00:00"/>
        <d v="2013-06-03T00:00:00"/>
        <d v="2013-06-04T00:00:00"/>
        <d v="2013-06-05T00:00:00"/>
        <d v="2013-06-06T00:00:00"/>
        <d v="2013-06-07T00:00:00"/>
        <d v="2013-06-10T00:00:00"/>
        <d v="2013-06-11T00:00:00"/>
        <d v="2013-06-12T00:00:00"/>
        <d v="2013-06-13T00:00:00"/>
        <d v="2013-06-14T00:00:00"/>
        <d v="2013-06-17T00:00:00"/>
        <d v="2013-06-18T00:00:00"/>
        <d v="2013-06-19T00:00:00"/>
        <d v="2013-06-20T00:00:00"/>
        <d v="2013-06-21T00:00:00"/>
        <d v="2013-06-24T00:00:00"/>
        <d v="2013-06-25T00:00:00"/>
        <d v="2013-06-26T00:00:00"/>
        <d v="2013-06-27T00:00:00"/>
        <d v="2013-06-28T00:00:00"/>
        <d v="2013-07-01T00:00:00"/>
        <d v="2013-07-02T00:00:00"/>
        <d v="2013-07-03T00:00:00"/>
        <d v="2013-07-05T00:00:00"/>
        <d v="2013-07-08T00:00:00"/>
        <d v="2013-07-09T00:00:00"/>
        <d v="2013-07-10T00:00:00"/>
        <d v="2013-07-11T00:00:00"/>
        <d v="2013-07-12T00:00:00"/>
        <d v="2013-07-15T00:00:00"/>
        <d v="2013-07-16T00:00:00"/>
        <d v="2013-07-17T00:00:00"/>
        <d v="2013-07-18T00:00:00"/>
        <d v="2013-07-19T00:00:00"/>
        <d v="2013-07-22T00:00:00"/>
        <d v="2013-07-23T00:00:00"/>
        <d v="2013-07-24T00:00:00"/>
        <d v="2013-07-25T00:00:00"/>
        <d v="2013-07-26T00:00:00"/>
        <d v="2013-07-29T00:00:00"/>
        <d v="2013-07-30T00:00:00"/>
        <d v="2013-07-31T00:00:00"/>
        <d v="2013-08-01T00:00:00"/>
        <d v="2013-08-02T00:00:00"/>
        <d v="2013-08-05T00:00:00"/>
        <d v="2013-08-06T00:00:00"/>
        <d v="2013-08-07T00:00:00"/>
        <d v="2013-08-08T00:00:00"/>
        <d v="2013-08-09T00:00:00"/>
        <d v="2013-08-12T00:00:00"/>
        <d v="2013-08-13T00:00:00"/>
        <d v="2013-08-14T00:00:00"/>
        <d v="2013-08-15T00:00:00"/>
        <d v="2013-08-16T00:00:00"/>
        <d v="2013-08-19T00:00:00"/>
        <d v="2013-08-20T00:00:00"/>
        <d v="2013-08-21T00:00:00"/>
        <d v="2013-08-22T00:00:00"/>
        <d v="2013-08-23T00:00:00"/>
        <d v="2013-08-26T00:00:00"/>
        <d v="2013-08-27T00:00:00"/>
        <d v="2013-08-28T00:00:00"/>
        <d v="2013-08-29T00:00:00"/>
        <d v="2013-08-30T00:00:00"/>
        <d v="2013-09-03T00:00:00"/>
        <d v="2013-09-04T00:00:00"/>
        <d v="2013-09-05T00:00:00"/>
        <d v="2013-09-06T00:00:00"/>
        <d v="2013-09-09T00:00:00"/>
        <d v="2013-09-10T00:00:00"/>
        <d v="2013-09-11T00:00:00"/>
        <d v="2013-09-12T00:00:00"/>
        <d v="2013-09-13T00:00:00"/>
        <d v="2013-09-16T00:00:00"/>
        <d v="2013-09-17T00:00:00"/>
        <d v="2013-09-18T00:00:00"/>
        <d v="2013-09-19T00:00:00"/>
        <d v="2013-09-20T00:00:00"/>
        <d v="2013-09-23T00:00:00"/>
        <d v="2013-09-24T00:00:00"/>
        <d v="2013-09-25T00:00:00"/>
        <d v="2013-09-26T00:00:00"/>
        <d v="2013-09-27T00:00:00"/>
        <d v="2013-09-30T00:00:00"/>
        <d v="2013-10-01T00:00:00"/>
        <d v="2013-10-02T00:00:00"/>
        <d v="2013-10-03T00:00:00"/>
        <d v="2013-10-04T00:00:00"/>
        <d v="2013-10-07T00:00:00"/>
        <d v="2013-10-08T00:00:00"/>
        <d v="2013-10-09T00:00:00"/>
        <d v="2013-10-10T00:00:00"/>
        <d v="2013-10-11T00:00:00"/>
        <d v="2013-10-14T00:00:00"/>
        <d v="2013-10-15T00:00:00"/>
        <d v="2013-10-16T00:00:00"/>
        <d v="2013-10-17T00:00:00"/>
        <d v="2013-10-18T00:00:00"/>
        <d v="2013-10-21T00:00:00"/>
        <d v="2013-10-22T00:00:00"/>
        <d v="2013-10-23T00:00:00"/>
        <d v="2013-10-24T00:00:00"/>
        <d v="2013-10-25T00:00:00"/>
        <d v="2013-10-28T00:00:00"/>
        <d v="2013-10-29T00:00:00"/>
        <d v="2013-10-30T00:00:00"/>
        <d v="2013-10-31T00:00:00"/>
        <d v="2013-11-01T00:00:00"/>
        <d v="2013-11-04T00:00:00"/>
        <d v="2013-11-05T00:00:00"/>
        <d v="2013-11-06T00:00:00"/>
        <d v="2013-11-07T00:00:00"/>
        <d v="2013-11-08T00:00:00"/>
        <d v="2013-11-11T00:00:00"/>
        <d v="2013-11-12T00:00:00"/>
        <d v="2013-11-13T00:00:00"/>
        <d v="2013-11-14T00:00:00"/>
        <d v="2013-11-15T00:00:00"/>
        <d v="2013-11-18T00:00:00"/>
        <d v="2013-11-19T00:00:00"/>
        <d v="2013-11-20T00:00:00"/>
        <d v="2013-11-21T00:00:00"/>
        <d v="2013-11-22T00:00:00"/>
        <d v="2013-11-25T00:00:00"/>
        <d v="2013-11-26T00:00:00"/>
        <d v="2013-11-27T00:00:00"/>
        <d v="2013-11-29T00:00:00"/>
        <d v="2013-12-02T00:00:00"/>
        <d v="2013-12-03T00:00:00"/>
        <d v="2013-12-04T00:00:00"/>
        <d v="2013-12-05T00:00:00"/>
        <d v="2013-12-06T00:00:00"/>
        <d v="2013-12-09T00:00:00"/>
        <d v="2013-12-10T00:00:00"/>
        <d v="2013-12-11T00:00:00"/>
        <d v="2013-12-12T00:00:00"/>
        <d v="2013-12-13T00:00:00"/>
        <d v="2013-12-16T00:00:00"/>
        <d v="2013-12-17T00:00:00"/>
        <d v="2013-12-18T00:00:00"/>
        <d v="2013-12-19T00:00:00"/>
        <d v="2013-12-20T00:00:00"/>
        <d v="2013-12-23T00:00:00"/>
        <d v="2013-12-24T00:00:00"/>
        <d v="2013-12-26T00:00:00"/>
        <d v="2013-12-27T00:00:00"/>
        <d v="2013-12-30T00:00:00"/>
        <d v="2013-12-31T00:00:00"/>
        <d v="2014-01-02T00:00:00"/>
        <d v="2014-01-03T00:00:00"/>
        <d v="2014-01-06T00:00:00"/>
        <d v="2014-01-07T00:00:00"/>
        <d v="2014-01-08T00:00:00"/>
        <d v="2014-01-09T00:00:00"/>
        <d v="2014-01-10T00:00:00"/>
        <d v="2014-01-13T00:00:00"/>
        <d v="2014-01-14T00:00:00"/>
        <d v="2014-01-15T00:00:00"/>
        <d v="2014-01-16T00:00:00"/>
        <d v="2014-01-17T00:00:00"/>
        <d v="2014-01-21T00:00:00"/>
        <d v="2014-01-22T00:00:00"/>
        <d v="2014-01-23T00:00:00"/>
        <d v="2014-01-24T00:00:00"/>
        <d v="2014-01-27T00:00:00"/>
        <d v="2014-01-28T00:00:00"/>
        <d v="2014-01-29T00:00:00"/>
        <d v="2014-01-30T00:00:00"/>
        <d v="2014-01-31T00:00:00"/>
        <d v="2014-02-03T00:00:00"/>
        <d v="2014-02-04T00:00:00"/>
        <d v="2014-02-05T00:00:00"/>
        <d v="2014-02-06T00:00:00"/>
        <d v="2014-02-07T00:00:00"/>
        <d v="2014-02-10T00:00:00"/>
        <d v="2014-02-11T00:00:00"/>
        <d v="2014-02-12T00:00:00"/>
        <d v="2014-02-13T00:00:00"/>
        <d v="2014-02-14T00:00:00"/>
        <d v="2014-02-18T00:00:00"/>
        <d v="2014-02-19T00:00:00"/>
        <d v="2014-02-20T00:00:00"/>
        <d v="2014-02-21T00:00:00"/>
        <d v="2014-02-24T00:00:00"/>
        <d v="2014-02-25T00:00:00"/>
        <d v="2014-02-26T00:00:00"/>
        <d v="2014-02-27T00:00:00"/>
        <d v="2014-02-28T00:00:00"/>
        <d v="2014-03-03T00:00:00"/>
        <d v="2014-03-04T00:00:00"/>
        <d v="2014-03-05T00:00:00"/>
        <d v="2014-03-06T00:00:00"/>
        <d v="2014-03-07T00:00:00"/>
        <d v="2014-03-10T00:00:00"/>
        <d v="2014-03-11T00:00:00"/>
        <d v="2014-03-12T00:00:00"/>
        <d v="2014-03-13T00:00:00"/>
        <d v="2014-03-14T00:00:00"/>
        <d v="2014-03-17T00:00:00"/>
        <d v="2014-03-18T00:00:00"/>
        <d v="2014-03-19T00:00:00"/>
        <d v="2014-03-20T00:00:00"/>
        <d v="2014-03-21T00:00:00"/>
        <d v="2014-03-24T00:00:00"/>
        <d v="2014-03-25T00:00:00"/>
        <d v="2014-03-26T00:00:00"/>
        <d v="2014-03-27T00:00:00"/>
        <d v="2014-03-28T00:00:00"/>
        <d v="2014-03-31T00:00:00"/>
        <d v="2014-04-01T00:00:00"/>
        <d v="2014-04-02T00:00:00"/>
        <d v="2014-04-03T00:00:00"/>
        <d v="2014-04-04T00:00:00"/>
        <d v="2014-04-07T00:00:00"/>
        <d v="2014-04-08T00:00:00"/>
        <d v="2014-04-09T00:00:00"/>
        <d v="2014-04-10T00:00:00"/>
        <d v="2014-04-11T00:00:00"/>
        <d v="2014-04-14T00:00:00"/>
        <d v="2014-04-15T00:00:00"/>
        <d v="2014-04-16T00:00:00"/>
        <d v="2014-04-17T00:00:00"/>
        <d v="2014-04-21T00:00:00"/>
        <d v="2014-04-22T00:00:00"/>
        <d v="2014-04-23T00:00:00"/>
        <d v="2014-04-24T00:00:00"/>
        <d v="2014-04-25T00:00:00"/>
        <d v="2014-04-28T00:00:00"/>
        <d v="2014-04-29T00:00:00"/>
        <d v="2014-04-30T00:00:00"/>
        <d v="2014-05-01T00:00:00"/>
        <d v="2014-05-02T00:00:00"/>
        <d v="2014-05-05T00:00:00"/>
        <d v="2014-05-06T00:00:00"/>
        <d v="2014-05-07T00:00:00"/>
        <d v="2014-05-08T00:00:00"/>
        <d v="2014-05-09T00:00:00"/>
        <d v="2014-05-12T00:00:00"/>
        <d v="2014-05-13T00:00:00"/>
        <d v="2014-05-14T00:00:00"/>
        <d v="2014-05-15T00:00:00"/>
        <d v="2014-05-16T00:00:00"/>
        <d v="2014-05-19T00:00:00"/>
        <d v="2014-05-20T00:00:00"/>
        <d v="2014-05-21T00:00:00"/>
        <d v="2014-05-22T00:00:00"/>
        <d v="2014-05-23T00:00:00"/>
        <d v="2014-05-27T00:00:00"/>
        <d v="2014-05-28T00:00:00"/>
        <d v="2014-05-29T00:00:00"/>
        <d v="2014-05-30T00:00:00"/>
        <d v="2014-06-02T00:00:00"/>
        <d v="2014-06-03T00:00:00"/>
        <d v="2014-06-04T00:00:00"/>
        <d v="2014-06-05T00:00:00"/>
        <d v="2014-06-06T00:00:00"/>
        <d v="2014-06-09T00:00:00"/>
        <d v="2014-06-10T00:00:00"/>
        <d v="2014-06-11T00:00:00"/>
        <d v="2014-06-12T00:00:00"/>
        <d v="2014-06-13T00:00:00"/>
        <d v="2014-06-16T00:00:00"/>
        <d v="2014-06-17T00:00:00"/>
        <d v="2014-06-18T00:00:00"/>
        <d v="2014-06-19T00:00:00"/>
        <d v="2014-06-20T00:00:00"/>
        <d v="2014-06-23T00:00:00"/>
        <d v="2014-06-24T00:00:00"/>
        <d v="2014-06-25T00:00:00"/>
        <d v="2014-06-26T00:00:00"/>
        <d v="2014-06-27T00:00:00"/>
        <d v="2014-06-30T00:00:00"/>
        <d v="2014-07-01T00:00:00"/>
        <d v="2014-07-02T00:00:00"/>
        <d v="2014-07-03T00:00:00"/>
        <d v="2014-07-07T00:00:00"/>
        <d v="2014-07-08T00:00:00"/>
        <d v="2014-07-09T00:00:00"/>
        <d v="2014-07-10T00:00:00"/>
        <d v="2014-07-11T00:00:00"/>
        <d v="2014-07-14T00:00:00"/>
        <d v="2014-07-15T00:00:00"/>
        <d v="2014-07-16T00:00:00"/>
        <d v="2014-07-17T00:00:00"/>
        <d v="2014-07-18T00:00:00"/>
        <d v="2014-07-21T00:00:00"/>
        <d v="2014-07-22T00:00:00"/>
        <d v="2014-07-23T00:00:00"/>
        <d v="2014-07-24T00:00:00"/>
        <d v="2014-07-25T00:00:00"/>
        <d v="2014-07-28T00:00:00"/>
        <d v="2014-07-29T00:00:00"/>
        <d v="2014-07-30T00:00:00"/>
        <d v="2014-07-31T00:00:00"/>
        <d v="2014-08-01T00:00:00"/>
        <d v="2014-08-04T00:00:00"/>
        <d v="2014-08-05T00:00:00"/>
        <d v="2014-08-06T00:00:00"/>
        <d v="2014-08-07T00:00:00"/>
        <d v="2014-08-08T00:00:00"/>
        <d v="2014-08-11T00:00:00"/>
        <d v="2014-08-12T00:00:00"/>
        <d v="2014-08-13T00:00:00"/>
        <d v="2014-08-14T00:00:00"/>
        <d v="2014-08-15T00:00:00"/>
        <d v="2014-08-18T00:00:00"/>
        <d v="2014-08-19T00:00:00"/>
        <d v="2014-08-20T00:00:00"/>
        <d v="2014-08-21T00:00:00"/>
        <d v="2014-08-22T00:00:00"/>
        <d v="2014-08-25T00:00:00"/>
        <d v="2014-08-26T00:00:00"/>
        <d v="2014-08-27T00:00:00"/>
        <d v="2014-08-28T00:00:00"/>
        <d v="2014-08-29T00:00:00"/>
        <d v="2014-09-02T00:00:00"/>
        <d v="2014-09-03T00:00:00"/>
        <d v="2014-09-04T00:00:00"/>
        <d v="2014-09-05T00:00:00"/>
        <d v="2014-09-08T00:00:00"/>
        <d v="2014-09-09T00:00:00"/>
        <d v="2014-09-10T00:00:00"/>
        <d v="2014-09-11T00:00:00"/>
        <d v="2014-09-12T00:00:00"/>
        <d v="2014-09-15T00:00:00"/>
        <d v="2014-09-16T00:00:00"/>
        <d v="2014-09-17T00:00:00"/>
        <d v="2014-09-18T00:00:00"/>
        <d v="2014-09-19T00:00:00"/>
        <d v="2014-09-22T00:00:00"/>
        <d v="2014-09-23T00:00:00"/>
        <d v="2014-09-24T00:00:00"/>
        <d v="2014-09-25T00:00:00"/>
        <d v="2014-09-26T00:00:00"/>
        <d v="2014-09-29T00:00:00"/>
        <d v="2014-09-30T00:00:00"/>
        <d v="2014-10-01T00:00:00"/>
        <d v="2014-10-02T00:00:00"/>
        <d v="2014-10-03T00:00:00"/>
        <d v="2014-10-06T00:00:00"/>
        <d v="2014-10-07T00:00:00"/>
        <d v="2014-10-08T00:00:00"/>
        <d v="2014-10-09T00:00:00"/>
        <d v="2014-10-10T00:00:00"/>
        <d v="2014-10-13T00:00:00"/>
        <d v="2014-10-14T00:00:00"/>
        <d v="2014-10-15T00:00:00"/>
        <d v="2014-10-16T00:00:00"/>
        <d v="2014-10-17T00:00:00"/>
        <d v="2014-10-20T00:00:00"/>
        <d v="2014-10-21T00:00:00"/>
        <d v="2014-10-22T00:00:00"/>
        <d v="2014-10-23T00:00:00"/>
        <d v="2014-10-24T00:00:00"/>
        <d v="2014-10-27T00:00:00"/>
        <d v="2014-10-28T00:00:00"/>
        <d v="2014-10-29T00:00:00"/>
        <d v="2014-10-30T00:00:00"/>
        <d v="2014-10-31T00:00:00"/>
        <d v="2014-11-03T00:00:00"/>
        <d v="2014-11-04T00:00:00"/>
        <d v="2014-11-05T00:00:00"/>
        <d v="2014-11-06T00:00:00"/>
        <d v="2014-11-07T00:00:00"/>
        <d v="2014-11-10T00:00:00"/>
        <d v="2014-11-11T00:00:00"/>
        <d v="2014-11-12T00:00:00"/>
        <d v="2014-11-13T00:00:00"/>
        <d v="2014-11-14T00:00:00"/>
        <d v="2014-11-17T00:00:00"/>
        <d v="2014-11-18T00:00:00"/>
        <d v="2014-11-19T00:00:00"/>
        <d v="2014-11-20T00:00:00"/>
        <d v="2014-11-21T00:00:00"/>
        <d v="2014-11-24T00:00:00"/>
        <d v="2014-11-25T00:00:00"/>
        <d v="2014-11-26T00:00:00"/>
        <d v="2014-11-28T00:00:00"/>
        <d v="2014-12-01T00:00:00"/>
        <d v="2014-12-02T00:00:00"/>
        <d v="2014-12-03T00:00:00"/>
        <d v="2014-12-04T00:00:00"/>
        <d v="2014-12-05T00:00:00"/>
        <d v="2014-12-08T00:00:00"/>
        <d v="2014-12-09T00:00:00"/>
        <d v="2014-12-10T00:00:00"/>
        <d v="2014-12-11T00:00:00"/>
        <d v="2014-12-12T00:00:00"/>
        <d v="2014-12-15T00:00:00"/>
        <d v="2014-12-16T00:00:00"/>
        <d v="2014-12-17T00:00:00"/>
        <d v="2014-12-18T00:00:00"/>
        <d v="2014-12-19T00:00:00"/>
        <d v="2014-12-22T00:00:00"/>
        <d v="2014-12-23T00:00:00"/>
        <d v="2014-12-24T00:00:00"/>
        <d v="2014-12-26T00:00:00"/>
        <d v="2014-12-29T00:00:00"/>
        <d v="2014-12-30T00:00:00"/>
        <d v="2014-12-31T00:00:00"/>
        <d v="2015-01-02T00:00:00"/>
        <d v="2015-01-05T00:00:00"/>
        <d v="2015-01-06T00:00:00"/>
        <d v="2015-01-07T00:00:00"/>
        <d v="2015-01-08T00:00:00"/>
        <d v="2015-01-09T00:00:00"/>
        <d v="2015-01-12T00:00:00"/>
        <d v="2015-01-13T00:00:00"/>
        <d v="2015-01-14T00:00:00"/>
        <d v="2015-01-15T00:00:00"/>
        <d v="2015-01-16T00:00:00"/>
        <d v="2015-01-20T00:00:00"/>
        <d v="2015-01-21T00:00:00"/>
        <d v="2015-01-22T00:00:00"/>
        <d v="2015-01-23T00:00:00"/>
        <d v="2015-01-26T00:00:00"/>
        <d v="2015-01-27T00:00:00"/>
        <d v="2015-01-28T00:00:00"/>
        <d v="2015-01-29T00:00:00"/>
        <d v="2015-01-30T00:00:00"/>
        <d v="2015-02-02T00:00:00"/>
        <d v="2015-02-03T00:00:00"/>
        <d v="2015-02-04T00:00:00"/>
        <d v="2015-02-05T00:00:00"/>
        <d v="2015-02-06T00:00:00"/>
        <d v="2015-02-09T00:00:00"/>
        <d v="2015-02-10T00:00:00"/>
        <d v="2015-02-11T00:00:00"/>
        <d v="2015-02-12T00:00:00"/>
        <d v="2015-02-13T00:00:00"/>
        <d v="2015-02-17T00:00:00"/>
        <d v="2015-02-18T00:00:00"/>
        <d v="2015-02-19T00:00:00"/>
        <d v="2015-02-20T00:00:00"/>
        <d v="2015-02-23T00:00:00"/>
        <d v="2015-02-24T00:00:00"/>
        <d v="2015-02-25T00:00:00"/>
        <d v="2015-02-26T00:00:00"/>
        <d v="2015-02-27T00:00:00"/>
        <d v="2015-03-02T00:00:00"/>
        <d v="2015-03-03T00:00:00"/>
        <d v="2015-03-04T00:00:00"/>
        <d v="2015-03-05T00:00:00"/>
        <d v="2015-03-06T00:00:00"/>
        <d v="2015-03-09T00:00:00"/>
        <d v="2015-03-10T00:00:00"/>
        <d v="2015-03-11T00:00:00"/>
        <d v="2015-03-12T00:00:00"/>
        <d v="2015-03-13T00:00:00"/>
        <d v="2015-03-16T00:00:00"/>
        <d v="2015-03-17T00:00:00"/>
        <d v="2015-03-18T00:00:00"/>
        <d v="2015-03-19T00:00:00"/>
        <d v="2015-03-20T00:00:00"/>
        <d v="2015-03-23T00:00:00"/>
        <d v="2015-03-24T00:00:00"/>
        <d v="2015-03-25T00:00:00"/>
        <d v="2015-03-26T00:00:00"/>
        <d v="2015-03-27T00:00:00"/>
        <d v="2015-03-30T00:00:00"/>
        <d v="2015-03-31T00:00:00"/>
        <d v="2015-04-01T00:00:00"/>
        <d v="2015-04-02T00:00:00"/>
        <d v="2015-04-06T00:00:00"/>
        <d v="2015-04-07T00:00:00"/>
        <d v="2015-04-08T00:00:00"/>
        <d v="2015-04-09T00:00:00"/>
        <d v="2015-04-10T00:00:00"/>
        <d v="2015-04-13T00:00:00"/>
        <d v="2015-04-14T00:00:00"/>
        <d v="2015-04-15T00:00:00"/>
        <d v="2015-04-16T00:00:00"/>
        <d v="2015-04-17T00:00:00"/>
        <d v="2015-04-20T00:00:00"/>
        <d v="2015-04-21T00:00:00"/>
        <d v="2015-04-22T00:00:00"/>
        <d v="2015-04-23T00:00:00"/>
        <d v="2015-04-24T00:00:00"/>
        <d v="2015-04-27T00:00:00"/>
        <d v="2015-04-28T00:00:00"/>
        <d v="2015-04-29T00:00:00"/>
        <d v="2015-04-30T00:00:00"/>
        <d v="2015-05-01T00:00:00"/>
        <d v="2015-05-04T00:00:00"/>
        <d v="2015-05-05T00:00:00"/>
        <d v="2015-05-06T00:00:00"/>
        <d v="2015-05-07T00:00:00"/>
        <d v="2015-05-08T00:00:00"/>
        <d v="2015-05-11T00:00:00"/>
        <d v="2015-05-12T00:00:00"/>
        <d v="2015-05-13T00:00:00"/>
        <d v="2015-05-14T00:00:00"/>
        <d v="2015-05-15T00:00:00"/>
        <d v="2015-05-18T00:00:00"/>
        <d v="2015-05-19T00:00:00"/>
        <d v="2015-05-20T00:00:00"/>
        <d v="2015-05-21T00:00:00"/>
        <d v="2015-05-22T00:00:00"/>
        <d v="2015-05-26T00:00:00"/>
        <d v="2015-05-27T00:00:00"/>
        <d v="2015-05-28T00:00:00"/>
        <d v="2015-05-29T00:00:00"/>
        <d v="2015-06-01T00:00:00"/>
        <d v="2015-06-02T00:00:00"/>
        <d v="2015-06-03T00:00:00"/>
        <d v="2015-06-04T00:00:00"/>
        <d v="2015-06-05T00:00:00"/>
        <d v="2015-06-08T00:00:00"/>
        <d v="2015-06-09T00:00:00"/>
        <d v="2015-06-10T00:00:00"/>
        <d v="2015-06-11T00:00:00"/>
        <d v="2015-06-12T00:00:00"/>
        <d v="2015-06-15T00:00:00"/>
        <d v="2015-06-16T00:00:00"/>
        <d v="2015-06-17T00:00:00"/>
        <d v="2015-06-18T00:00:00"/>
        <d v="2015-06-19T00:00:00"/>
        <d v="2015-06-22T00:00:00"/>
        <d v="2015-06-23T00:00:00"/>
        <d v="2015-06-24T00:00:00"/>
        <d v="2015-06-25T00:00:00"/>
        <d v="2015-06-26T00:00:00"/>
        <d v="2015-06-29T00:00:00"/>
        <d v="2015-06-30T00:00:00"/>
        <d v="2015-07-01T00:00:00"/>
        <d v="2015-07-02T00:00:00"/>
        <d v="2015-07-06T00:00:00"/>
        <d v="2015-07-07T00:00:00"/>
        <d v="2015-07-08T00:00:00"/>
        <d v="2015-07-09T00:00:00"/>
        <d v="2015-07-10T00:00:00"/>
        <d v="2015-07-13T00:00:00"/>
        <d v="2015-07-14T00:00:00"/>
        <d v="2015-07-15T00:00:00"/>
        <d v="2015-07-16T00:00:00"/>
        <d v="2015-07-17T00:00:00"/>
        <d v="2015-07-20T00:00:00"/>
        <d v="2015-07-21T00:00:00"/>
        <d v="2015-07-22T00:00:00"/>
        <d v="2015-07-23T00:00:00"/>
        <d v="2015-07-24T00:00:00"/>
        <d v="2015-07-27T00:00:00"/>
        <d v="2015-07-28T00:00:00"/>
        <d v="2015-07-29T00:00:00"/>
        <d v="2015-07-30T00:00:00"/>
        <d v="2015-07-31T00:00:00"/>
        <d v="2015-08-03T00:00:00"/>
        <d v="2015-08-04T00:00:00"/>
        <d v="2015-08-05T00:00:00"/>
        <d v="2015-08-06T00:00:00"/>
        <d v="2015-08-07T00:00:00"/>
        <d v="2015-08-10T00:00:00"/>
        <d v="2015-08-11T00:00:00"/>
        <d v="2015-08-12T00:00:00"/>
        <d v="2015-08-13T00:00:00"/>
        <d v="2015-08-14T00:00:00"/>
        <d v="2015-08-17T00:00:00"/>
        <d v="2015-08-18T00:00:00"/>
        <d v="2015-08-19T00:00:00"/>
        <d v="2015-08-20T00:00:00"/>
        <d v="2015-08-21T00:00:00"/>
        <d v="2015-08-24T00:00:00"/>
        <d v="2015-08-25T00:00:00"/>
        <d v="2015-08-26T00:00:00"/>
        <d v="2015-08-27T00:00:00"/>
        <d v="2015-08-28T00:00:00"/>
        <d v="2015-08-31T00:00:00"/>
        <d v="2015-09-01T00:00:00"/>
        <d v="2015-09-02T00:00:00"/>
        <d v="2015-09-03T00:00:00"/>
        <d v="2015-09-04T00:00:00"/>
        <d v="2015-09-08T00:00:00"/>
        <d v="2015-09-09T00:00:00"/>
        <d v="2015-09-10T00:00:00"/>
        <d v="2015-09-11T00:00:00"/>
        <d v="2015-09-14T00:00:00"/>
        <d v="2015-09-15T00:00:00"/>
        <d v="2015-09-16T00:00:00"/>
        <d v="2015-09-17T00:00:00"/>
        <d v="2015-09-18T00:00:00"/>
        <d v="2015-09-21T00:00:00"/>
        <d v="2015-09-22T00:00:00"/>
        <d v="2015-09-23T00:00:00"/>
        <d v="2015-09-24T00:00:00"/>
        <d v="2015-09-25T00:00:00"/>
        <d v="2015-09-28T00:00:00"/>
        <d v="2015-09-29T00:00:00"/>
        <d v="2015-09-30T00:00:00"/>
        <d v="2015-10-01T00:00:00"/>
        <d v="2015-10-02T00:00:00"/>
        <d v="2015-10-05T00:00:00"/>
        <d v="2015-10-06T00:00:00"/>
        <d v="2015-10-07T00:00:00"/>
        <d v="2015-10-08T00:00:00"/>
        <d v="2015-10-09T00:00:00"/>
        <d v="2015-10-12T00:00:00"/>
        <d v="2015-10-13T00:00:00"/>
        <d v="2015-10-14T00:00:00"/>
        <d v="2015-10-15T00:00:00"/>
        <d v="2015-10-16T00:00:00"/>
        <d v="2015-10-19T00:00:00"/>
        <d v="2015-10-20T00:00:00"/>
        <d v="2015-10-21T00:00:00"/>
        <d v="2015-10-22T00:00:00"/>
        <d v="2015-10-23T00:00:00"/>
        <d v="2015-10-26T00:00:00"/>
        <d v="2015-10-27T00:00:00"/>
        <d v="2015-10-28T00:00:00"/>
        <d v="2015-10-29T00:00:00"/>
        <d v="2015-10-30T00:00:00"/>
        <d v="2015-11-02T00:00:00"/>
        <d v="2015-11-03T00:00:00"/>
        <d v="2015-11-04T00:00:00"/>
        <d v="2015-11-05T00:00:00"/>
        <d v="2015-11-06T00:00:00"/>
        <d v="2015-11-09T00:00:00"/>
        <d v="2015-11-10T00:00:00"/>
        <d v="2015-11-11T00:00:00"/>
        <d v="2015-11-12T00:00:00"/>
        <d v="2015-11-13T00:00:00"/>
        <d v="2015-11-16T00:00:00"/>
        <d v="2015-11-17T00:00:00"/>
        <d v="2015-11-18T00:00:00"/>
        <d v="2015-11-19T00:00:00"/>
        <d v="2015-11-20T00:00:00"/>
        <d v="2015-11-23T00:00:00"/>
        <d v="2015-11-24T00:00:00"/>
        <d v="2015-11-25T00:00:00"/>
        <d v="2015-11-27T00:00:00"/>
        <d v="2015-11-30T00:00:00"/>
        <d v="2015-12-01T00:00:00"/>
        <d v="2015-12-02T00:00:00"/>
        <d v="2015-12-03T00:00:00"/>
        <d v="2015-12-04T00:00:00"/>
        <d v="2015-12-07T00:00:00"/>
        <d v="2015-12-08T00:00:00"/>
        <d v="2015-12-09T00:00:00"/>
        <d v="2015-12-10T00:00:00"/>
        <d v="2015-12-11T00:00:00"/>
        <d v="2015-12-14T00:00:00"/>
        <d v="2015-12-15T00:00:00"/>
        <d v="2015-12-16T00:00:00"/>
        <d v="2015-12-17T00:00:00"/>
        <d v="2015-12-18T00:00:00"/>
        <d v="2015-12-21T00:00:00"/>
        <d v="2015-12-22T00:00:00"/>
        <d v="2015-12-23T00:00:00"/>
        <d v="2015-12-24T00:00:00"/>
        <d v="2015-12-28T00:00:00"/>
        <d v="2015-12-29T00:00:00"/>
        <d v="2015-12-30T00:00:00"/>
        <d v="2015-12-31T00:00:00"/>
        <d v="2016-01-04T00:00:00"/>
        <d v="2016-01-05T00:00:00"/>
        <d v="2016-01-06T00:00:00"/>
        <d v="2016-01-07T00:00:00"/>
        <d v="2016-01-08T00:00:00"/>
        <d v="2016-01-11T00:00:00"/>
        <d v="2016-01-12T00:00:00"/>
        <d v="2016-01-13T00:00:00"/>
        <d v="2016-01-14T00:00:00"/>
        <d v="2016-01-15T00:00:00"/>
        <d v="2016-01-19T00:00:00"/>
        <d v="2016-01-20T00:00:00"/>
        <d v="2016-01-21T00:00:00"/>
        <d v="2016-01-22T00:00:00"/>
        <d v="2016-01-25T00:00:00"/>
        <d v="2016-01-26T00:00:00"/>
        <d v="2016-01-27T00:00:00"/>
        <d v="2016-01-28T00:00:00"/>
        <d v="2016-01-29T00:00:00"/>
        <d v="2016-02-01T00:00:00"/>
        <d v="2016-02-02T00:00:00"/>
        <d v="2016-02-03T00:00:00"/>
        <d v="2016-02-04T00:00:00"/>
        <d v="2016-02-05T00:00:00"/>
        <d v="2016-02-08T00:00:00"/>
        <d v="2016-02-09T00:00:00"/>
        <d v="2016-02-10T00:00:00"/>
        <d v="2016-02-11T00:00:00"/>
        <d v="2016-02-12T00:00:00"/>
        <d v="2016-02-16T00:00:00"/>
        <d v="2016-02-17T00:00:00"/>
        <d v="2016-02-18T00:00:00"/>
        <d v="2016-02-19T00:00:00"/>
        <d v="2016-02-22T00:00:00"/>
        <d v="2016-02-23T00:00:00"/>
        <d v="2016-02-24T00:00:00"/>
        <d v="2016-02-25T00:00:00"/>
        <d v="2016-02-26T00:00:00"/>
        <d v="2016-02-29T00:00:00"/>
        <d v="2016-03-01T00:00:00"/>
        <d v="2016-03-02T00:00:00"/>
        <d v="2016-03-03T00:00:00"/>
        <d v="2016-03-04T00:00:00"/>
        <d v="2016-03-07T00:00:00"/>
        <d v="2016-03-08T00:00:00"/>
        <d v="2016-03-09T00:00:00"/>
        <d v="2016-03-10T00:00:00"/>
        <d v="2016-03-11T00:00:00"/>
        <d v="2016-03-14T00:00:00"/>
        <d v="2016-03-15T00:00:00"/>
        <d v="2016-03-16T00:00:00"/>
        <d v="2016-03-17T00:00:00"/>
        <d v="2016-03-18T00:00:00"/>
        <d v="2016-03-21T00:00:00"/>
        <d v="2016-03-22T00:00:00"/>
        <d v="2016-03-23T00:00:00"/>
        <d v="2016-03-24T00:00:00"/>
        <d v="2016-03-28T00:00:00"/>
        <d v="2016-03-29T00:00:00"/>
        <d v="2016-03-30T00:00:00"/>
        <d v="2016-03-31T00:00:00"/>
        <d v="2016-04-01T00:00:00"/>
        <d v="2016-04-04T00:00:00"/>
        <d v="2016-04-05T00:00:00"/>
        <d v="2016-04-06T00:00:00"/>
        <d v="2016-04-07T00:00:00"/>
        <d v="2016-04-08T00:00:00"/>
        <d v="2016-04-11T00:00:00"/>
        <d v="2016-04-12T00:00:00"/>
        <d v="2016-04-13T00:00:00"/>
        <d v="2016-04-14T00:00:00"/>
        <d v="2016-04-15T00:00:00"/>
        <d v="2016-04-18T00:00:00"/>
        <d v="2016-04-19T00:00:00"/>
        <d v="2016-04-20T00:00:00"/>
        <d v="2016-04-21T00:00:00"/>
        <d v="2016-04-22T00:00:00"/>
        <d v="2016-04-25T00:00:00"/>
        <d v="2016-04-26T00:00:00"/>
        <d v="2016-04-27T00:00:00"/>
        <d v="2016-04-28T00:00:00"/>
        <d v="2016-04-29T00:00:00"/>
        <d v="2016-05-02T00:00:00"/>
        <d v="2016-05-03T00:00:00"/>
        <d v="2016-05-04T00:00:00"/>
        <d v="2016-05-05T00:00:00"/>
        <d v="2016-05-06T00:00:00"/>
        <d v="2016-05-09T00:00:00"/>
        <d v="2016-05-10T00:00:00"/>
        <d v="2016-05-11T00:00:00"/>
        <d v="2016-05-12T00:00:00"/>
        <d v="2016-05-13T00:00:00"/>
        <d v="2016-05-16T00:00:00"/>
        <d v="2016-05-17T00:00:00"/>
        <d v="2016-05-18T00:00:00"/>
        <d v="2016-05-19T00:00:00"/>
        <d v="2016-05-20T00:00:00"/>
        <d v="2016-05-23T00:00:00"/>
        <d v="2016-05-24T00:00:00"/>
        <d v="2016-05-25T00:00:00"/>
        <d v="2016-05-26T00:00:00"/>
        <d v="2016-05-27T00:00:00"/>
        <d v="2016-05-31T00:00:00"/>
        <d v="2016-06-01T00:00:00"/>
        <d v="2016-06-02T00:00:00"/>
        <d v="2016-06-03T00:00:00"/>
        <d v="2016-06-06T00:00:00"/>
        <d v="2016-06-07T00:00:00"/>
        <d v="2016-06-08T00:00:00"/>
        <d v="2016-06-09T00:00:00"/>
        <d v="2016-06-10T00:00:00"/>
        <d v="2016-06-13T00:00:00"/>
        <d v="2016-06-14T00:00:00"/>
        <d v="2016-06-15T00:00:00"/>
        <d v="2016-06-16T00:00:00"/>
        <d v="2016-06-17T00:00:00"/>
        <d v="2016-06-20T00:00:00"/>
        <d v="2016-06-21T00:00:00"/>
        <d v="2016-06-22T00:00:00"/>
        <d v="2016-06-23T00:00:00"/>
        <d v="2016-06-24T00:00:00"/>
        <d v="2016-06-27T00:00:00"/>
        <d v="2016-06-28T00:00:00"/>
        <d v="2016-06-29T00:00:00"/>
        <d v="2016-06-30T00:00:00"/>
        <d v="2016-07-01T00:00:00"/>
        <d v="2016-07-05T00:00:00"/>
        <d v="2016-07-06T00:00:00"/>
        <d v="2016-07-07T00:00:00"/>
        <d v="2016-07-08T00:00:00"/>
        <d v="2016-07-11T00:00:00"/>
        <d v="2016-07-12T00:00:00"/>
        <d v="2016-07-13T00:00:00"/>
        <d v="2016-07-14T00:00:00"/>
        <d v="2016-07-15T00:00:00"/>
        <d v="2016-07-18T00:00:00"/>
        <d v="2016-07-19T00:00:00"/>
        <d v="2016-07-20T00:00:00"/>
        <d v="2016-07-21T00:00:00"/>
        <d v="2016-07-22T00:00:00"/>
        <d v="2016-07-25T00:00:00"/>
        <d v="2016-07-26T00:00:00"/>
        <d v="2016-07-27T00:00:00"/>
        <d v="2016-07-28T00:00:00"/>
        <d v="2016-07-29T00:00:00"/>
        <d v="2016-08-01T00:00:00"/>
        <d v="2016-08-02T00:00:00"/>
        <d v="2016-08-03T00:00:00"/>
        <d v="2016-08-04T00:00:00"/>
        <d v="2016-08-05T00:00:00"/>
        <d v="2016-08-08T00:00:00"/>
        <d v="2016-08-09T00:00:00"/>
        <d v="2016-08-10T00:00:00"/>
        <d v="2016-08-11T00:00:00"/>
        <d v="2016-08-12T00:00:00"/>
        <d v="2016-08-15T00:00:00"/>
        <d v="2016-08-16T00:00:00"/>
        <d v="2016-08-17T00:00:00"/>
        <d v="2016-08-18T00:00:00"/>
        <d v="2016-08-19T00:00:00"/>
        <d v="2016-08-22T00:00:00"/>
        <d v="2016-08-23T00:00:00"/>
        <d v="2016-08-24T00:00:00"/>
        <d v="2016-08-25T00:00:00"/>
        <d v="2016-08-26T00:00:00"/>
        <d v="2016-08-29T00:00:00"/>
        <d v="2016-08-30T00:00:00"/>
        <d v="2016-08-31T00:00:00"/>
        <d v="2016-09-01T00:00:00"/>
        <d v="2016-09-02T00:00:00"/>
        <d v="2016-09-06T00:00:00"/>
        <d v="2016-09-07T00:00:00"/>
        <d v="2016-09-08T00:00:00"/>
        <d v="2016-09-09T00:00:00"/>
        <d v="2016-09-12T00:00:00"/>
        <d v="2016-09-13T00:00:00"/>
        <d v="2016-09-14T00:00:00"/>
        <d v="2016-09-15T00:00:00"/>
        <d v="2016-09-16T00:00:00"/>
        <d v="2016-09-19T00:00:00"/>
        <d v="2016-09-20T00:00:00"/>
        <d v="2016-09-21T00:00:00"/>
        <d v="2016-09-22T00:00:00"/>
        <d v="2016-09-23T00:00:00"/>
        <d v="2016-09-26T00:00:00"/>
        <d v="2016-09-27T00:00:00"/>
        <d v="2016-09-28T00:00:00"/>
        <d v="2016-09-29T00:00:00"/>
        <d v="2016-09-30T00:00:00"/>
        <d v="2016-10-03T00:00:00"/>
        <d v="2016-10-04T00:00:00"/>
        <d v="2016-10-05T00:00:00"/>
        <d v="2016-10-06T00:00:00"/>
        <d v="2016-10-07T00:00:00"/>
        <d v="2016-10-10T00:00:00"/>
        <d v="2016-10-11T00:00:00"/>
        <d v="2016-10-12T00:00:00"/>
        <d v="2016-10-13T00:00:00"/>
        <d v="2016-10-14T00:00:00"/>
        <d v="2016-10-17T00:00:00"/>
        <d v="2016-10-18T00:00:00"/>
        <d v="2016-10-19T00:00:00"/>
        <d v="2016-10-20T00:00:00"/>
        <d v="2016-10-21T00:00:00"/>
        <d v="2016-10-24T00:00:00"/>
        <d v="2016-10-25T00:00:00"/>
        <d v="2016-10-26T00:00:00"/>
        <d v="2016-10-27T00:00:00"/>
        <d v="2016-10-28T00:00:00"/>
        <d v="2016-10-31T00:00:00"/>
        <d v="2016-11-01T00:00:00"/>
        <d v="2016-11-02T00:00:00"/>
        <d v="2016-11-03T00:00:00"/>
        <d v="2016-11-04T00:00:00"/>
        <d v="2016-11-07T00:00:00"/>
        <d v="2016-11-08T00:00:00"/>
        <d v="2016-11-09T00:00:00"/>
        <d v="2016-11-10T00:00:00"/>
        <d v="2016-11-11T00:00:00"/>
        <d v="2016-11-14T00:00:00"/>
        <d v="2016-11-15T00:00:00"/>
        <d v="2016-11-16T00:00:00"/>
        <d v="2016-11-17T00:00:00"/>
        <d v="2016-11-18T00:00:00"/>
        <d v="2016-11-21T00:00:00"/>
        <d v="2016-11-22T00:00:00"/>
        <d v="2016-11-23T00:00:00"/>
        <d v="2016-11-25T00:00:00"/>
        <d v="2016-11-28T00:00:00"/>
        <d v="2016-11-29T00:00:00"/>
        <d v="2016-11-30T00:00:00"/>
        <d v="2016-12-01T00:00:00"/>
        <d v="2016-12-02T00:00:00"/>
        <d v="2016-12-05T00:00:00"/>
        <d v="2016-12-06T00:00:00"/>
        <d v="2016-12-07T00:00:00"/>
        <d v="2016-12-08T00:00:00"/>
        <d v="2016-12-09T00:00:00"/>
        <d v="2016-12-12T00:00:00"/>
        <d v="2016-12-13T00:00:00"/>
        <d v="2016-12-14T00:00:00"/>
        <d v="2016-12-15T00:00:00"/>
        <d v="2016-12-16T00:00:00"/>
        <d v="2016-12-19T00:00:00"/>
        <d v="2016-12-20T00:00:00"/>
        <d v="2016-12-21T00:00:00"/>
        <d v="2016-12-22T00:00:00"/>
        <d v="2016-12-23T00:00:00"/>
        <d v="2016-12-27T00:00:00"/>
        <d v="2016-12-28T00:00:00"/>
        <d v="2016-12-29T00:00:00"/>
        <d v="2016-12-30T00:00:00"/>
        <d v="2017-01-03T00:00:00"/>
        <d v="2017-01-04T00:00:00"/>
        <d v="2017-01-05T00:00:00"/>
        <d v="2017-01-06T00:00:00"/>
        <d v="2017-01-09T00:00:00"/>
        <d v="2017-01-10T00:00:00"/>
        <d v="2017-01-11T00:00:00"/>
        <d v="2017-01-12T00:00:00"/>
        <d v="2017-01-13T00:00:00"/>
        <d v="2017-01-17T00:00:00"/>
        <d v="2017-01-18T00:00:00"/>
        <d v="2017-01-19T00:00:00"/>
        <d v="2017-01-20T00:00:00"/>
        <d v="2017-01-23T00:00:00"/>
        <d v="2017-01-24T00:00:00"/>
        <d v="2017-01-25T00:00:00"/>
        <d v="2017-01-26T00:00:00"/>
        <d v="2017-01-27T00:00:00"/>
        <d v="2017-01-30T00:00:00"/>
        <d v="2017-01-31T00:00:00"/>
        <d v="2017-02-01T00:00:00"/>
        <d v="2017-02-02T00:00:00"/>
        <d v="2017-02-03T00:00:00"/>
        <d v="2017-02-06T00:00:00"/>
        <d v="2017-02-07T00:00:00"/>
        <d v="2017-02-08T00:00:00"/>
        <d v="2017-02-09T00:00:00"/>
        <d v="2017-02-10T00:00:00"/>
        <d v="2017-02-13T00:00:00"/>
        <d v="2017-02-14T00:00:00"/>
        <d v="2017-02-15T00:00:00"/>
        <d v="2017-02-16T00:00:00"/>
        <d v="2017-02-17T00:00:00"/>
        <d v="2017-02-21T00:00:00"/>
        <d v="2017-02-22T00:00:00"/>
        <d v="2017-02-23T00:00:00"/>
        <d v="2017-02-24T00:00:00"/>
        <d v="2017-02-27T00:00:00"/>
        <d v="2017-02-28T00:00:00"/>
        <d v="2017-03-01T00:00:00"/>
        <d v="2017-03-02T00:00:00"/>
        <d v="2017-03-03T00:00:00"/>
        <d v="2017-03-06T00:00:00"/>
        <d v="2017-03-07T00:00:00"/>
        <d v="2017-03-08T00:00:00"/>
        <d v="2017-03-09T00:00:00"/>
        <d v="2017-03-10T00:00:00"/>
        <d v="2017-03-13T00:00:00"/>
        <d v="2017-03-14T00:00:00"/>
        <d v="2017-03-15T00:00:00"/>
        <d v="2017-03-16T00:00:00"/>
        <d v="2017-03-17T00:00:00"/>
        <d v="2017-03-20T00:00:00"/>
        <d v="2017-03-21T00:00:00"/>
        <d v="2017-03-22T00:00:00"/>
        <d v="2017-03-23T00:00:00"/>
        <d v="2017-03-24T00:00:00"/>
        <d v="2017-03-27T00:00:00"/>
        <d v="2017-03-28T00:00:00"/>
        <d v="2017-03-29T00:00:00"/>
        <d v="2017-03-30T00:00:00"/>
        <d v="2017-03-31T00:00:00"/>
        <d v="2017-04-03T00:00:00"/>
        <d v="2017-04-04T00:00:00"/>
        <d v="2017-04-05T00:00:00"/>
        <d v="2017-04-06T00:00:00"/>
        <d v="2017-04-07T00:00:00"/>
        <d v="2017-04-10T00:00:00"/>
        <d v="2017-04-11T00:00:00"/>
        <d v="2017-04-12T00:00:00"/>
        <d v="2017-04-13T00:00:00"/>
        <d v="2017-04-17T00:00:00"/>
        <d v="2017-04-18T00:00:00"/>
        <d v="2017-04-19T00:00:00"/>
        <d v="2017-04-20T00:00:00"/>
        <d v="2017-04-21T00:00:00"/>
        <d v="2017-04-24T00:00:00"/>
        <d v="2017-04-25T00:00:00"/>
        <d v="2017-04-26T00:00:00"/>
        <d v="2017-04-27T00:00:00"/>
        <d v="2017-04-28T00:00:00"/>
        <d v="2017-05-01T00:00:00"/>
        <d v="2017-05-02T00:00:00"/>
        <d v="2017-05-03T00:00:00"/>
        <d v="2017-05-04T00:00:00"/>
        <d v="2017-05-05T00:00:00"/>
        <d v="2017-05-08T00:00:00"/>
        <d v="2017-05-09T00:00:00"/>
        <d v="2017-05-10T00:00:00"/>
        <d v="2017-05-11T00:00:00"/>
        <d v="2017-05-12T00:00:00"/>
        <d v="2017-05-15T00:00:00"/>
        <d v="2017-05-16T00:00:00"/>
        <d v="2017-05-17T00:00:00"/>
        <d v="2017-05-18T00:00:00"/>
        <d v="2017-05-19T00:00:00"/>
        <d v="2017-05-22T00:00:00"/>
        <d v="2017-05-23T00:00:00"/>
        <d v="2017-05-24T00:00:00"/>
        <d v="2017-05-25T00:00:00"/>
        <d v="2017-05-26T00:00:00"/>
        <d v="2017-05-30T00:00:00"/>
        <d v="2017-05-31T00:00:00"/>
        <d v="2017-06-01T00:00:00"/>
        <d v="2017-06-02T00:00:00"/>
        <d v="2017-06-05T00:00:00"/>
        <d v="2017-06-06T00:00:00"/>
        <d v="2017-06-07T00:00:00"/>
        <d v="2017-06-08T00:00:00"/>
        <d v="2017-06-09T00:00:00"/>
        <d v="2017-06-12T00:00:00"/>
        <d v="2017-06-13T00:00:00"/>
        <d v="2017-06-14T00:00:00"/>
        <d v="2017-06-15T00:00:00"/>
        <d v="2017-06-16T00:00:00"/>
        <d v="2017-06-19T00:00:00"/>
        <d v="2017-06-20T00:00:00"/>
        <d v="2017-06-21T00:00:00"/>
        <d v="2017-06-22T00:00:00"/>
        <d v="2017-06-23T00:00:00"/>
        <d v="2017-06-26T00:00:00"/>
        <d v="2017-06-27T00:00:00"/>
        <d v="2017-06-28T00:00:00"/>
        <d v="2017-06-29T00:00:00"/>
        <d v="2017-06-30T00:00:00"/>
        <d v="2017-07-03T00:00:00"/>
        <d v="2017-07-05T00:00:00"/>
        <d v="2017-07-06T00:00:00"/>
        <d v="2017-07-07T00:00:00"/>
        <d v="2017-07-10T00:00:00"/>
        <d v="2017-07-11T00:00:00"/>
        <d v="2017-07-12T00:00:00"/>
        <d v="2017-07-13T00:00:00"/>
        <d v="2017-07-14T00:00:00"/>
        <d v="2017-07-17T00:00:00"/>
        <d v="2017-07-18T00:00:00"/>
        <d v="2017-07-19T00:00:00"/>
        <d v="2017-07-20T00:00:00"/>
        <d v="2017-07-21T00:00:00"/>
        <d v="2017-07-24T00:00:00"/>
        <d v="2017-07-25T00:00:00"/>
        <d v="2017-07-26T00:00:00"/>
        <d v="2017-07-27T00:00:00"/>
        <d v="2017-07-28T00:00:00"/>
        <d v="2017-07-31T00:00:00"/>
        <d v="2017-08-01T00:00:00"/>
        <d v="2017-08-02T00:00:00"/>
        <d v="2017-08-03T00:00:00"/>
        <d v="2017-08-04T00:00:00"/>
        <d v="2017-08-07T00:00:00"/>
        <d v="2017-08-08T00:00:00"/>
        <d v="2017-08-09T00:00:00"/>
        <d v="2017-08-10T00:00:00"/>
        <d v="2017-08-11T00:00:00"/>
        <d v="2017-08-14T00:00:00"/>
        <d v="2017-08-15T00:00:00"/>
        <d v="2017-08-16T00:00:00"/>
        <d v="2017-08-17T00:00:00"/>
        <d v="2017-08-18T00:00:00"/>
        <d v="2017-08-21T00:00:00"/>
        <d v="2017-08-22T00:00:00"/>
        <d v="2017-08-23T00:00:00"/>
        <d v="2017-08-24T00:00:00"/>
        <d v="2017-08-25T00:00:00"/>
        <d v="2017-08-28T00:00:00"/>
        <d v="2017-08-29T00:00:00"/>
        <d v="2017-08-30T00:00:00"/>
        <d v="2017-08-31T00:00:00"/>
        <d v="2017-09-01T00:00:00"/>
        <d v="2017-09-05T00:00:00"/>
        <d v="2017-09-06T00:00:00"/>
        <d v="2017-09-07T00:00:00"/>
        <d v="2017-09-08T00:00:00"/>
        <d v="2017-09-11T00:00:00"/>
        <d v="2017-09-12T00:00:00"/>
        <d v="2017-09-13T00:00:00"/>
        <d v="2017-09-14T00:00:00"/>
        <d v="2017-09-15T00:00:00"/>
        <d v="2017-09-18T00:00:00"/>
        <d v="2017-09-19T00:00:00"/>
        <d v="2017-09-20T00:00:00"/>
        <d v="2017-09-21T00:00:00"/>
        <d v="2017-09-22T00:00:00"/>
        <d v="2017-09-25T00:00:00"/>
        <d v="2017-09-26T00:00:00"/>
        <d v="2017-09-27T00:00:00"/>
        <d v="2017-09-28T00:00:00"/>
        <d v="2017-09-29T00:00:00"/>
        <d v="2017-10-02T00:00:00"/>
        <d v="2017-10-03T00:00:00"/>
        <d v="2017-10-04T00:00:00"/>
        <d v="2017-10-05T00:00:00"/>
        <d v="2017-10-06T00:00:00"/>
        <d v="2017-10-09T00:00:00"/>
        <d v="2017-10-10T00:00:00"/>
        <d v="2017-10-11T00:00:00"/>
        <d v="2017-10-12T00:00:00"/>
        <d v="2017-10-13T00:00:00"/>
        <d v="2017-10-16T00:00:00"/>
        <d v="2017-10-17T00:00:00"/>
        <d v="2017-10-18T00:00:00"/>
        <d v="2017-10-19T00:00:00"/>
        <d v="2017-10-20T00:00:00"/>
        <d v="2017-10-23T00:00:00"/>
        <d v="2017-10-24T00:00:00"/>
        <d v="2017-10-25T00:00:00"/>
        <d v="2017-10-26T00:00:00"/>
        <d v="2017-10-27T00:00:00"/>
        <d v="2017-10-30T00:00:00"/>
        <d v="2017-10-31T00:00:00"/>
        <d v="2017-11-01T00:00:00"/>
        <d v="2017-11-02T00:00:00"/>
        <d v="2017-11-03T00:00:00"/>
        <d v="2017-11-06T00:00:00"/>
        <d v="2017-11-07T00:00:00"/>
        <d v="2017-11-08T00:00:00"/>
        <d v="2017-11-09T00:00:00"/>
        <d v="2017-11-10T00:00:00"/>
        <d v="2017-11-13T00:00:00"/>
        <d v="2017-11-14T00:00:00"/>
        <d v="2017-11-15T00:00:00"/>
        <d v="2017-11-16T00:00:00"/>
        <d v="2017-11-17T00:00:00"/>
        <d v="2017-11-20T00:00:00"/>
        <d v="2017-11-21T00:00:00"/>
        <d v="2017-11-22T00:00:00"/>
        <d v="2017-11-24T00:00:00"/>
        <d v="2017-11-27T00:00:00"/>
        <d v="2017-11-28T00:00:00"/>
        <d v="2017-11-29T00:00:00"/>
        <d v="2017-11-30T00:00:00"/>
        <d v="2017-12-01T00:00:00"/>
        <d v="2017-12-04T00:00:00"/>
        <d v="2017-12-05T00:00:00"/>
        <d v="2017-12-06T00:00:00"/>
        <d v="2017-12-07T00:00:00"/>
        <d v="2017-12-08T00:00:00"/>
        <d v="2017-12-11T00:00:00"/>
        <d v="2017-12-12T00:00:00"/>
        <d v="2017-12-13T00:00:00"/>
        <d v="2017-12-14T00:00:00"/>
        <d v="2017-12-15T00:00:00"/>
        <d v="2017-12-18T00:00:00"/>
        <d v="2017-12-19T00:00:00"/>
        <d v="2017-12-20T00:00:00"/>
        <d v="2017-12-21T00:00:00"/>
        <d v="2017-12-22T00:00:00"/>
        <d v="2017-12-26T00:00:00"/>
        <d v="2017-12-27T00:00:00"/>
        <d v="2017-12-28T00:00:00"/>
        <d v="2017-12-29T00:00:00"/>
        <d v="2018-01-02T00:00:00"/>
        <d v="2018-01-03T00:00:00"/>
        <d v="2018-01-04T00:00:00"/>
        <d v="2018-01-05T00:00:00"/>
        <d v="2018-01-08T00:00:00"/>
        <d v="2018-01-09T00:00:00"/>
        <d v="2018-01-10T00:00:00"/>
        <d v="2018-01-11T00:00:00"/>
        <d v="2018-01-12T00:00:00"/>
        <d v="2018-01-16T00:00:00"/>
        <d v="2018-01-17T00:00:00"/>
        <d v="2018-01-18T00:00:00"/>
        <d v="2018-01-19T00:00:00"/>
        <d v="2018-01-22T00:00:00"/>
        <d v="2018-01-23T00:00:00"/>
        <d v="2018-01-24T00:00:00"/>
        <d v="2018-01-25T00:00:00"/>
        <d v="2018-01-26T00:00:00"/>
        <d v="2018-01-29T00:00:00"/>
        <d v="2018-01-30T00:00:00"/>
        <d v="2018-01-31T00:00:00"/>
        <d v="2018-02-01T00:00:00"/>
        <d v="2018-02-02T00:00:00"/>
        <d v="2018-02-05T00:00:00"/>
        <d v="2018-02-06T00:00:00"/>
        <d v="2018-02-07T00:00:00"/>
        <d v="2018-02-08T00:00:00"/>
        <d v="2018-02-09T00:00:00"/>
        <d v="2018-02-12T00:00:00"/>
        <d v="2018-02-13T00:00:00"/>
        <d v="2018-02-14T00:00:00"/>
        <d v="2018-02-15T00:00:00"/>
        <d v="2018-02-16T00:00:00"/>
        <d v="2018-02-20T00:00:00"/>
        <d v="2018-02-21T00:00:00"/>
        <d v="2018-02-22T00:00:00"/>
        <d v="2018-02-23T00:00:00"/>
        <d v="2018-02-26T00:00:00"/>
        <d v="2018-02-27T00:00:00"/>
        <d v="2018-02-28T00:00:00"/>
        <d v="2018-03-01T00:00:00"/>
        <d v="2018-03-02T00:00:00"/>
        <d v="2018-03-05T00:00:00"/>
        <d v="2018-03-06T00:00:00"/>
        <d v="2018-03-07T00:00:00"/>
        <d v="2018-03-08T00:00:00"/>
        <d v="2018-03-09T00:00:00"/>
        <d v="2018-03-12T00:00:00"/>
        <d v="2018-03-13T00:00:00"/>
        <d v="2018-03-14T00:00:00"/>
        <d v="2018-03-15T00:00:00"/>
        <d v="2018-03-16T00:00:00"/>
        <d v="2018-03-19T00:00:00"/>
        <d v="2018-03-20T00:00:00"/>
        <d v="2018-03-21T00:00:00"/>
        <d v="2018-03-22T00:00:00"/>
        <d v="2018-03-23T00:00:00"/>
        <d v="2018-03-26T00:00:00"/>
        <d v="2018-03-27T00:00:00"/>
        <d v="2018-03-28T00:00:00"/>
        <d v="2018-03-29T00:00:00"/>
        <d v="2018-04-02T00:00:00"/>
        <d v="2018-04-03T00:00:00"/>
        <d v="2018-04-04T00:00:00"/>
        <d v="2018-04-05T00:00:00"/>
        <d v="2018-04-06T00:00:00"/>
        <d v="2018-04-09T00:00:00"/>
        <d v="2018-04-10T00:00:00"/>
        <d v="2018-04-11T00:00:00"/>
        <d v="2018-04-12T00:00:00"/>
        <d v="2018-04-13T00:00:00"/>
        <d v="2018-04-16T00:00:00"/>
        <d v="2018-04-17T00:00:00"/>
        <d v="2018-04-18T00:00:00"/>
        <d v="2018-04-19T00:00:00"/>
        <d v="2018-04-20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4T00:00:00"/>
        <d v="2018-05-15T00:00:00"/>
        <d v="2018-05-16T00:00:00"/>
        <d v="2018-05-17T00:00:00"/>
        <d v="2018-05-18T00:00:00"/>
        <d v="2018-05-21T00:00:00"/>
        <d v="2018-05-22T00:00:00"/>
        <d v="2018-05-23T00:00:00"/>
        <d v="2018-05-24T00:00:00"/>
        <d v="2018-05-25T00:00:00"/>
        <d v="2018-05-29T00:00:00"/>
        <d v="2018-05-30T00:00:00"/>
        <d v="2018-05-31T00:00:00"/>
        <d v="2018-06-01T00:00:00"/>
        <d v="2018-06-04T00:00:00"/>
        <d v="2018-06-05T00:00:00"/>
        <d v="2018-06-06T00:00:00"/>
        <d v="2018-06-07T00:00:00"/>
        <d v="2018-06-08T00:00:00"/>
        <d v="2018-06-11T00:00:00"/>
        <d v="2018-06-12T00:00:00"/>
        <d v="2018-06-13T00:00:00"/>
        <d v="2018-06-14T00:00:00"/>
        <d v="2018-06-15T00:00:00"/>
        <d v="2018-06-18T00:00:00"/>
        <d v="2018-06-19T00:00:00"/>
        <d v="2018-06-20T00:00:00"/>
        <d v="2018-06-21T00:00:00"/>
        <d v="2018-06-22T00:00:00"/>
        <d v="2018-06-25T00:00:00"/>
        <d v="2018-06-26T00:00:00"/>
        <d v="2018-06-27T00:00:00"/>
        <d v="2018-06-28T00:00:00"/>
        <d v="2018-06-29T00:00:00"/>
        <d v="2018-07-02T00:00:00"/>
        <d v="2018-07-03T00:00:00"/>
        <d v="2018-07-05T00:00:00"/>
        <d v="2018-07-06T00:00:00"/>
        <d v="2018-07-09T00:00:00"/>
        <d v="2018-07-10T00:00:00"/>
        <d v="2018-07-11T00:00:00"/>
        <d v="2018-07-12T00:00:00"/>
        <d v="2018-07-13T00:00:00"/>
        <d v="2018-07-16T00:00:00"/>
        <d v="2018-07-17T00:00:00"/>
        <d v="2018-07-18T00:00:00"/>
        <d v="2018-07-19T00:00:00"/>
        <d v="2018-07-20T00:00:00"/>
        <d v="2018-07-23T00:00:00"/>
        <d v="2018-07-24T00:00:00"/>
        <d v="2018-07-25T00:00:00"/>
        <d v="2018-07-26T00:00:00"/>
        <d v="2018-07-27T00:00:00"/>
        <d v="2018-07-30T00:00:00"/>
        <d v="2018-07-31T00:00:00"/>
        <d v="2018-08-01T00:00:00"/>
        <d v="2018-08-02T00:00:00"/>
        <d v="2018-08-03T00:00:00"/>
        <d v="2018-08-06T00:00:00"/>
        <d v="2018-08-07T00:00:00"/>
        <d v="2018-08-08T00:00:00"/>
        <d v="2018-08-09T00:00:00"/>
        <d v="2018-08-10T00:00:00"/>
        <d v="2018-08-13T00:00:00"/>
        <d v="2018-08-14T00:00:00"/>
        <d v="2018-08-15T00:00:00"/>
        <d v="2018-08-16T00:00:00"/>
        <d v="2018-08-17T00:00:00"/>
        <d v="2018-08-20T00:00:00"/>
        <d v="2018-08-21T00:00:00"/>
        <d v="2018-08-22T00:00:00"/>
        <d v="2018-08-23T00:00:00"/>
        <d v="2018-08-24T00:00:00"/>
        <d v="2018-08-27T00:00:00"/>
        <d v="2018-08-28T00:00:00"/>
        <d v="2018-08-29T00:00:00"/>
        <d v="2018-08-30T00:00:00"/>
        <d v="2018-08-31T00:00:00"/>
        <d v="2018-09-04T00:00:00"/>
        <d v="2018-09-05T00:00:00"/>
        <d v="2018-09-06T00:00:00"/>
        <d v="2018-09-07T00:00:00"/>
        <d v="2018-09-10T00:00:00"/>
        <d v="2018-09-11T00:00:00"/>
        <d v="2018-09-12T00:00:00"/>
        <d v="2018-09-13T00:00:00"/>
        <d v="2018-09-14T00:00:00"/>
        <d v="2018-09-17T00:00:00"/>
        <d v="2018-09-18T00:00:00"/>
        <d v="2018-09-19T00:00:00"/>
        <d v="2018-09-20T00:00:00"/>
        <d v="2018-09-21T00:00:00"/>
        <d v="2018-09-24T00:00:00"/>
        <d v="2018-09-25T00:00:00"/>
        <d v="2018-09-26T00:00:00"/>
        <d v="2018-09-27T00:00:00"/>
        <d v="2018-09-28T00:00:00"/>
        <d v="2018-10-01T00:00:00"/>
        <d v="2018-10-02T00:00:00"/>
        <d v="2018-10-03T00:00:00"/>
        <d v="2018-10-04T00:00:00"/>
        <d v="2018-10-05T00:00:00"/>
        <d v="2018-10-08T00:00:00"/>
        <d v="2018-10-09T00:00:00"/>
        <d v="2018-10-10T00:00:00"/>
        <d v="2018-10-11T00:00:00"/>
        <d v="2018-10-12T00:00:00"/>
        <d v="2018-10-15T00:00:00"/>
        <d v="2018-10-16T00:00:00"/>
        <d v="2018-10-17T00:00:00"/>
        <d v="2018-10-18T00:00:00"/>
        <d v="2018-10-19T00:00:00"/>
        <d v="2018-10-22T00:00:00"/>
        <d v="2018-10-23T00:00:00"/>
        <d v="2018-10-24T00:00:00"/>
        <d v="2018-10-25T00:00:00"/>
        <d v="2018-10-26T00:00:00"/>
        <d v="2018-10-29T00:00:00"/>
        <d v="2018-10-30T00:00:00"/>
        <d v="2018-10-31T00:00:00"/>
        <d v="2018-11-01T00:00:00"/>
        <d v="2018-11-02T00:00:00"/>
        <d v="2018-11-05T00:00:00"/>
        <d v="2018-11-06T00:00:00"/>
        <d v="2018-11-07T00:00:00"/>
        <d v="2018-11-08T00:00:00"/>
        <d v="2018-11-09T00:00:00"/>
        <d v="2018-11-12T00:00:00"/>
        <d v="2018-11-13T00:00:00"/>
        <d v="2018-11-14T00:00:00"/>
        <d v="2018-11-15T00:00:00"/>
        <d v="2018-11-16T00:00:00"/>
        <d v="2018-11-19T00:00:00"/>
        <d v="2018-11-20T00:00:00"/>
        <d v="2018-11-21T00:00:00"/>
        <d v="2018-11-23T00:00:00"/>
        <d v="2018-11-26T00:00:00"/>
        <d v="2018-11-27T00:00:00"/>
        <d v="2018-11-28T00:00:00"/>
        <d v="2018-11-29T00:00:00"/>
        <d v="2018-11-30T00:00:00"/>
        <d v="2018-12-03T00:00:00"/>
        <d v="2018-12-04T00:00:00"/>
        <d v="2018-12-06T00:00:00"/>
        <d v="2018-12-07T00:00:00"/>
        <d v="2018-12-10T00:00:00"/>
        <d v="2018-12-11T00:00:00"/>
        <d v="2018-12-12T00:00:00"/>
        <d v="2018-12-13T00:00:00"/>
        <d v="2018-12-14T00:00:00"/>
        <d v="2018-12-17T00:00:00"/>
        <d v="2018-12-18T00:00:00"/>
        <d v="2018-12-19T00:00:00"/>
        <d v="2018-12-20T00:00:00"/>
        <d v="2018-12-21T00:00:00"/>
        <d v="2018-12-24T00:00:00"/>
        <d v="2018-12-26T00:00:00"/>
        <d v="2018-12-27T00:00:00"/>
        <d v="2018-12-28T00:00:00"/>
        <d v="2018-12-31T00:00:00"/>
        <d v="2019-01-02T00:00:00"/>
        <d v="2019-01-03T00:00:00"/>
        <d v="2019-01-04T00:00:00"/>
        <d v="2019-01-07T00:00:00"/>
        <d v="2019-01-08T00:00:00"/>
        <d v="2019-01-09T00:00:00"/>
        <d v="2019-01-10T00:00:00"/>
        <d v="2019-01-11T00:00:00"/>
        <d v="2019-01-14T00:00:00"/>
        <d v="2019-01-15T00:00:00"/>
        <d v="2019-01-16T00:00:00"/>
        <d v="2019-01-17T00:00:00"/>
        <d v="2019-01-18T00:00:00"/>
        <d v="2019-01-22T00:00:00"/>
        <d v="2019-01-23T00:00:00"/>
        <d v="2019-01-24T00:00:00"/>
        <d v="2019-01-25T00:00:00"/>
        <d v="2019-01-28T00:00:00"/>
        <d v="2019-01-29T00:00:00"/>
        <d v="2019-01-30T00:00:00"/>
        <d v="2019-01-31T00:00:00"/>
        <d v="2019-02-01T00:00:00"/>
        <d v="2019-02-04T00:00:00"/>
        <d v="2019-02-05T00:00:00"/>
        <d v="2019-02-06T00:00:00"/>
        <d v="2019-02-07T00:00:00"/>
        <d v="2019-02-08T00:00:00"/>
        <d v="2019-02-11T00:00:00"/>
        <d v="2019-02-12T00:00:00"/>
        <d v="2019-02-13T00:00:00"/>
        <d v="2019-02-14T00:00:00"/>
        <d v="2019-02-15T00:00:00"/>
        <d v="2019-02-19T00:00:00"/>
        <d v="2019-02-20T00:00:00"/>
        <d v="2019-02-21T00:00:00"/>
        <d v="2019-02-22T00:00:00"/>
        <d v="2019-02-25T00:00:00"/>
        <d v="2019-02-26T00:00:00"/>
        <d v="2019-02-27T00:00:00"/>
        <d v="2019-02-28T00:00:00"/>
        <d v="2019-03-01T00:00:00"/>
        <d v="2019-03-04T00:00:00"/>
        <d v="2019-03-05T00:00:00"/>
        <d v="2019-03-06T00:00:00"/>
        <d v="2019-03-07T00:00:00"/>
        <d v="2019-03-08T00:00:00"/>
        <d v="2019-03-11T00:00:00"/>
        <d v="2019-03-12T00:00:00"/>
        <d v="2019-03-13T00:00:00"/>
        <d v="2019-03-14T00:00:00"/>
        <d v="2019-03-15T00:00:00"/>
        <d v="2019-03-18T00:00:00"/>
        <d v="2019-03-19T00:00:00"/>
        <d v="2019-03-20T00:00:00"/>
        <d v="2019-03-21T00:00:00"/>
        <d v="2019-03-22T00:00:00"/>
        <d v="2019-03-25T00:00:00"/>
        <d v="2019-03-26T00:00:00"/>
        <d v="2019-03-27T00:00:00"/>
        <d v="2019-03-28T00:00:00"/>
        <d v="2019-03-29T00:00:00"/>
        <d v="2019-04-01T00:00:00"/>
        <d v="2019-04-02T00:00:00"/>
        <d v="2019-04-03T00:00:00"/>
        <d v="2019-04-04T00:00:00"/>
        <d v="2019-04-05T00:00:00"/>
        <d v="2019-04-08T00:00:00"/>
        <d v="2019-04-09T00:00:00"/>
        <d v="2019-04-10T00:00:00"/>
        <d v="2019-04-11T00:00:00"/>
        <d v="2019-04-12T00:00:00"/>
        <d v="2019-04-15T00:00:00"/>
        <d v="2019-04-16T00:00:00"/>
        <d v="2019-04-17T00:00:00"/>
        <d v="2019-04-18T00:00:00"/>
        <d v="2019-04-22T00:00:00"/>
        <d v="2019-04-23T00:00:00"/>
        <d v="2019-04-24T00:00:00"/>
        <d v="2019-04-25T00:00:00"/>
        <d v="2019-04-26T00:00:00"/>
        <d v="2019-04-29T00:00:00"/>
        <d v="2019-04-30T00:00:00"/>
        <d v="2019-05-01T00:00:00"/>
        <d v="2019-05-02T00:00:00"/>
        <d v="2019-05-03T00:00:00"/>
        <d v="2019-05-06T00:00:00"/>
        <d v="2019-05-07T00:00:00"/>
        <d v="2019-05-08T00:00:00"/>
        <d v="2019-05-09T00:00:00"/>
        <d v="2019-05-10T00:00:00"/>
        <d v="2019-05-13T00:00:00"/>
        <d v="2019-05-14T00:00:00"/>
        <d v="2019-05-15T00:00:00"/>
        <d v="2019-05-16T00:00:00"/>
        <d v="2019-05-17T00:00:00"/>
        <d v="2019-05-20T00:00:00"/>
        <d v="2019-05-21T00:00:00"/>
        <d v="2019-05-22T00:00:00"/>
        <d v="2019-05-23T00:00:00"/>
        <d v="2019-05-24T00:00:00"/>
        <d v="2019-05-28T00:00:00"/>
        <d v="2019-05-29T00:00:00"/>
        <d v="2019-05-30T00:00:00"/>
        <d v="2019-05-31T00:00:00"/>
        <d v="2019-06-03T00:00:00"/>
        <d v="2019-06-04T00:00:00"/>
        <d v="2019-06-05T00:00:00"/>
        <d v="2019-06-06T00:00:00"/>
        <d v="2019-06-07T00:00:00"/>
        <d v="2019-06-10T00:00:00"/>
        <d v="2019-06-11T00:00:00"/>
        <d v="2019-06-12T00:00:00"/>
        <d v="2019-06-13T00:00:00"/>
        <d v="2019-06-14T00:00:00"/>
        <d v="2019-06-17T00:00:00"/>
        <d v="2019-06-18T00:00:00"/>
        <d v="2019-06-19T00:00:00"/>
        <d v="2019-06-20T00:00:00"/>
        <d v="2019-06-21T00:00:00"/>
        <d v="2019-06-24T00:00:00"/>
        <d v="2019-06-25T00:00:00"/>
        <d v="2019-06-26T00:00:00"/>
        <d v="2019-06-27T00:00:00"/>
        <d v="2019-06-28T00:00:00"/>
        <d v="2019-07-01T00:00:00"/>
        <d v="2019-07-02T00:00:00"/>
        <d v="2019-07-03T00:00:00"/>
        <d v="2019-07-05T00:00:00"/>
        <d v="2019-07-08T00:00:00"/>
        <d v="2019-07-09T00:00:00"/>
        <d v="2019-07-10T00:00:00"/>
        <d v="2019-07-11T00:00:00"/>
        <d v="2019-07-12T00:00:00"/>
        <d v="2019-07-15T00:00:00"/>
        <d v="2019-07-16T00:00:00"/>
        <d v="2019-07-17T00:00:00"/>
        <d v="2019-07-18T00:00:00"/>
        <d v="2019-07-19T00:00:00"/>
        <d v="2019-07-22T00:00:00"/>
        <d v="2019-07-23T00:00:00"/>
        <d v="2019-07-24T00:00:00"/>
        <d v="2019-07-25T00:00:00"/>
        <d v="2019-07-26T00:00:00"/>
        <d v="2019-07-29T00:00:00"/>
        <d v="2019-07-30T00:00:00"/>
        <d v="2019-07-31T00:00:00"/>
        <d v="2019-08-01T00:00:00"/>
        <d v="2019-08-02T00:00:00"/>
        <d v="2019-08-05T00:00:00"/>
        <d v="2019-08-06T00:00:00"/>
        <d v="2019-08-07T00:00:00"/>
        <d v="2019-08-08T00:00:00"/>
        <d v="2019-08-09T00:00:00"/>
        <d v="2019-08-12T00:00:00"/>
        <d v="2019-08-13T00:00:00"/>
        <d v="2019-08-14T00:00:00"/>
        <d v="2019-08-15T00:00:00"/>
        <d v="2019-08-16T00:00:00"/>
        <d v="2019-08-19T00:00:00"/>
        <d v="2019-08-20T00:00:00"/>
        <d v="2019-08-21T00:00:00"/>
        <d v="2019-08-22T00:00:00"/>
        <d v="2019-08-23T00:00:00"/>
        <d v="2019-08-26T00:00:00"/>
        <d v="2019-08-27T00:00:00"/>
        <d v="2019-08-28T00:00:00"/>
        <d v="2019-08-29T00:00:00"/>
        <d v="2019-08-30T00:00:00"/>
        <d v="2019-09-03T00:00:00"/>
        <d v="2019-09-04T00:00:00"/>
        <d v="2019-09-05T00:00:00"/>
        <d v="2019-09-06T00:00:00"/>
        <d v="2019-09-09T00:00:00"/>
        <d v="2019-09-10T00:00:00"/>
        <d v="2019-09-11T00:00:00"/>
        <d v="2019-09-12T00:00:00"/>
        <d v="2019-09-13T00:00:00"/>
        <d v="2019-09-16T00:00:00"/>
        <d v="2019-09-17T00:00:00"/>
        <d v="2019-09-18T00:00:00"/>
        <d v="2019-09-19T00:00:00"/>
        <d v="2019-09-20T00:00:00"/>
        <d v="2019-09-23T00:00:00"/>
        <d v="2019-09-24T00:00:00"/>
        <d v="2019-09-25T00:00:00"/>
        <d v="2019-09-26T00:00:00"/>
        <d v="2019-09-27T00:00:00"/>
        <d v="2019-09-30T00:00:00"/>
        <d v="2019-10-01T00:00:00"/>
        <d v="2019-10-02T00:00:00"/>
        <d v="2019-10-03T00:00:00"/>
        <d v="2019-10-04T00:00:00"/>
        <d v="2019-10-07T00:00:00"/>
        <d v="2019-10-08T00:00:00"/>
        <d v="2019-10-09T00:00:00"/>
        <d v="2019-10-10T00:00:00"/>
        <d v="2019-10-11T00:00:00"/>
        <d v="2019-10-14T00:00:00"/>
        <d v="2019-10-15T00:00:00"/>
        <d v="2019-10-16T00:00:00"/>
        <d v="2019-10-17T00:00:00"/>
        <d v="2019-10-18T00:00:00"/>
        <d v="2019-10-21T00:00:00"/>
        <d v="2019-10-22T00:00:00"/>
        <d v="2019-10-23T00:00:00"/>
        <d v="2019-10-24T00:00:00"/>
        <d v="2019-10-25T00:00:00"/>
        <d v="2019-10-28T00:00:00"/>
        <d v="2019-10-29T00:00:00"/>
        <d v="2019-10-30T00:00:00"/>
        <d v="2019-10-31T00:00:00"/>
        <d v="2019-11-01T00:00:00"/>
        <d v="2019-11-04T00:00:00"/>
        <d v="2019-11-05T00:00:00"/>
        <d v="2019-11-06T00:00:00"/>
        <d v="2019-11-07T00:00:00"/>
        <d v="2019-11-08T00:00:00"/>
        <d v="2019-11-11T00:00:00"/>
        <d v="2019-11-12T00:00:00"/>
        <d v="2019-11-13T00:00:00"/>
        <d v="2019-11-14T00:00:00"/>
        <d v="2019-11-15T00:00:00"/>
        <d v="2019-11-18T00:00:00"/>
        <d v="2019-11-19T00:00:00"/>
        <d v="2019-11-20T00:00:00"/>
        <d v="2019-11-21T00:00:00"/>
        <d v="2019-11-22T00:00:00"/>
        <d v="2019-11-25T00:00:00"/>
        <d v="2019-11-26T00:00:00"/>
        <d v="2019-11-27T00:00:00"/>
        <d v="2019-11-29T00:00:00"/>
        <d v="2019-12-02T00:00:00"/>
        <d v="2019-12-03T00:00:00"/>
        <d v="2019-12-04T00:00:00"/>
        <d v="2019-12-05T00:00:00"/>
        <d v="2019-12-06T00:00:00"/>
        <d v="2019-12-09T00:00:00"/>
        <d v="2019-12-10T00:00:00"/>
        <d v="2019-12-11T00:00:00"/>
        <d v="2019-12-12T00:00:00"/>
        <d v="2019-12-13T00:00:00"/>
        <d v="2019-12-16T00:00:00"/>
        <d v="2019-12-17T00:00:00"/>
        <d v="2019-12-18T00:00:00"/>
        <d v="2019-12-19T00:00:00"/>
        <d v="2019-12-20T00:00:00"/>
        <d v="2019-12-23T00:00:00"/>
        <d v="2019-12-24T00:00:00"/>
        <d v="2019-12-26T00:00:00"/>
        <d v="2019-12-27T00:00:00"/>
        <d v="2019-12-30T00:00:00"/>
        <d v="2019-12-31T00:00:00"/>
        <d v="2020-01-02T00:00:00"/>
        <d v="2020-01-03T00:00:00"/>
        <d v="2020-01-06T00:00:00"/>
        <d v="2020-01-07T00:00:00"/>
        <d v="2020-01-08T00:00:00"/>
        <d v="2020-01-09T00:00:00"/>
        <d v="2020-01-10T00:00:00"/>
        <d v="2020-01-13T00:00:00"/>
        <d v="2020-01-14T00:00:00"/>
        <d v="2020-01-15T00:00:00"/>
        <d v="2020-01-16T00:00:00"/>
        <d v="2020-01-17T00:00:00"/>
        <d v="2020-01-21T00:00:00"/>
        <d v="2020-01-22T00:00:00"/>
        <d v="2020-01-23T00:00:00"/>
        <d v="2020-01-24T00:00:00"/>
        <d v="2020-01-27T00:00:00"/>
        <d v="2020-01-28T00:00:00"/>
        <d v="2020-01-29T00:00:00"/>
        <d v="2020-01-30T00:00:00"/>
        <d v="2020-01-31T00:00:00"/>
        <d v="2020-02-03T00:00:00"/>
        <d v="2020-02-04T00:00:00"/>
        <d v="2020-02-05T00:00:00"/>
        <d v="2020-02-06T00:00:00"/>
        <d v="2020-02-07T00:00:00"/>
        <d v="2020-02-10T00:00:00"/>
        <d v="2020-02-11T00:00:00"/>
        <d v="2020-02-12T00:00:00"/>
        <d v="2020-02-13T00:00:00"/>
        <d v="2020-02-14T00:00:00"/>
        <d v="2020-02-18T00:00:00"/>
        <d v="2020-02-19T00:00:00"/>
        <d v="2020-02-20T00:00:00"/>
        <d v="2020-02-21T00:00:00"/>
        <d v="2020-02-24T00:00:00"/>
        <d v="2020-02-25T00:00:00"/>
        <d v="2020-02-26T00:00:00"/>
        <d v="2020-02-27T00:00:00"/>
        <d v="2020-02-28T00:00:00"/>
        <d v="2020-03-02T00:00:00"/>
        <d v="2020-03-03T00:00:00"/>
        <d v="2020-03-04T00:00:00"/>
        <d v="2020-03-05T00:00:00"/>
        <d v="2020-03-06T00:00:00"/>
        <d v="2020-03-09T00:00:00"/>
        <d v="2020-03-10T00:00:00"/>
        <d v="2020-03-11T00:00:00"/>
        <d v="2020-03-12T00:00:00"/>
        <d v="2020-03-13T00:00:00"/>
        <d v="2020-03-16T00:00:00"/>
        <d v="2020-03-17T00:00:00"/>
        <d v="2020-03-18T00:00:00"/>
        <d v="2020-03-19T00:00:00"/>
        <d v="2020-03-20T00:00:00"/>
        <d v="2020-03-23T00:00:00"/>
        <d v="2020-03-24T00:00:00"/>
        <d v="2020-03-25T00:00:00"/>
        <d v="2020-03-26T00:00:00"/>
        <d v="2020-03-27T00:00:00"/>
        <d v="2020-03-30T00:00:00"/>
        <d v="2020-03-31T00:00:00"/>
        <d v="2020-04-01T00:00:00"/>
        <d v="2020-04-02T00:00:00"/>
        <d v="2020-04-03T00:00:00"/>
        <d v="2020-04-06T00:00:00"/>
        <d v="2020-04-07T00:00:00"/>
        <d v="2020-04-08T00:00:00"/>
        <d v="2020-04-09T00:00:00"/>
        <d v="2020-04-13T00:00:00"/>
        <d v="2020-04-14T00:00:00"/>
        <d v="2020-04-15T00:00:00"/>
        <d v="2020-04-16T00:00:00"/>
        <d v="2020-04-17T00:00:00"/>
        <d v="2020-04-20T00:00:00"/>
        <d v="2020-04-21T00:00:00"/>
        <d v="2020-04-22T00:00:00"/>
        <d v="2020-04-23T00:00:00"/>
        <d v="2020-04-24T00:00:00"/>
        <d v="2020-04-27T00:00:00"/>
        <d v="2020-04-28T00:00:00"/>
        <d v="2020-04-29T00:00:00"/>
        <d v="2020-04-30T00:00:00"/>
        <d v="2020-05-01T00:00:00"/>
        <d v="2020-05-04T00:00:00"/>
        <d v="2020-05-05T00:00:00"/>
        <d v="2020-05-06T00:00:00"/>
        <d v="2020-05-07T00:00:00"/>
        <d v="2020-05-08T00:00:00"/>
        <d v="2020-05-11T00:00:00"/>
        <d v="2020-05-12T00:00:00"/>
        <d v="2020-05-13T00:00:00"/>
        <d v="2020-05-14T00:00:00"/>
        <d v="2020-05-15T00:00:00"/>
        <d v="2020-05-18T00:00:00"/>
        <d v="2020-05-19T00:00:00"/>
        <d v="2020-05-20T00:00:00"/>
        <d v="2020-05-21T00:00:00"/>
        <d v="2020-05-22T00:00:00"/>
        <d v="2020-05-26T00:00:00"/>
        <d v="2020-05-27T00:00:00"/>
        <d v="2020-05-28T00:00:00"/>
        <d v="2020-05-29T00:00:00"/>
        <d v="2020-06-01T00:00:00"/>
        <d v="2020-06-02T00:00:00"/>
        <d v="2020-06-03T00:00:00"/>
        <d v="2020-06-04T00:00:00"/>
        <d v="2020-06-05T00:00:00"/>
        <d v="2020-06-08T00:00:00"/>
        <d v="2020-06-09T00:00:00"/>
        <d v="2020-06-10T00:00:00"/>
        <d v="2020-06-11T00:00:00"/>
        <d v="2020-06-12T00:00:00"/>
        <d v="2020-06-15T00:00:00"/>
        <d v="2020-06-16T00:00:00"/>
        <d v="2020-06-17T00:00:00"/>
        <d v="2020-06-18T00:00:00"/>
        <d v="2020-06-19T00:00:00"/>
        <d v="2020-06-22T00:00:00"/>
        <d v="2020-06-23T00:00:00"/>
        <d v="2020-06-24T00:00:00"/>
        <d v="2020-06-25T00:00:00"/>
        <d v="2020-06-26T00:00:00"/>
        <d v="2020-06-29T00:00:00"/>
        <d v="2020-06-30T00:00:00"/>
        <d v="2020-07-01T00:00:00"/>
        <d v="2020-07-02T00:00:00"/>
        <d v="2020-07-06T00:00:00"/>
        <d v="2020-07-07T00:00:00"/>
        <d v="2020-07-08T00:00:00"/>
        <d v="2020-07-09T00:00:00"/>
        <d v="2020-07-10T00:00:00"/>
        <d v="2020-07-13T00:00:00"/>
        <d v="2020-07-14T00:00:00"/>
        <d v="2020-07-15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2T00:00:00"/>
        <d v="2020-10-05T00:00:00"/>
        <d v="2020-10-06T00:00:00"/>
        <d v="2020-10-07T00:00:00"/>
        <d v="2020-10-08T00:00:00"/>
        <d v="2020-10-09T00:00:00"/>
        <d v="2020-10-12T00:00:00"/>
        <d v="2020-10-13T00:00:00"/>
        <d v="2020-10-14T00:00:00"/>
        <d v="2020-10-15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d v="2020-11-23T00:00:00"/>
        <d v="2020-11-24T00:00:00"/>
        <d v="2020-11-25T00:00:00"/>
        <d v="2020-11-27T00:00:00"/>
        <d v="2020-11-30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4T00:00:00"/>
        <d v="2020-12-28T00:00:00"/>
        <d v="2020-12-29T00:00:00"/>
        <d v="2020-12-30T00:00:00"/>
        <d v="2020-12-31T00:00:00"/>
        <d v="2021-01-04T00:00:00"/>
        <d v="2021-01-05T00:00:00"/>
        <d v="2021-01-06T00:00:00"/>
        <d v="2021-01-07T00:00:00"/>
        <d v="2021-01-08T00:00:00"/>
        <d v="2021-01-11T00:00:00"/>
        <d v="2021-01-12T00:00:00"/>
        <d v="2021-01-13T00:00:00"/>
        <d v="2021-01-14T00:00:00"/>
        <d v="2021-01-15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1T00:00:00"/>
        <d v="2021-04-05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3T00:00:00"/>
        <d v="2021-05-14T00:00:00"/>
        <d v="2021-05-17T00:00:00"/>
        <d v="2021-05-18T00:00:00"/>
        <d v="2021-05-19T00:00:00"/>
        <d v="2021-05-20T00:00:00"/>
        <d v="2021-05-21T00:00:00"/>
        <d v="2021-05-24T00:00:00"/>
        <d v="2021-05-25T00:00:00"/>
        <d v="2021-05-26T00:00:00"/>
        <d v="2021-05-27T00:00:00"/>
        <d v="2021-05-28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5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5T00:00:00"/>
        <d v="2021-11-08T00:00:00"/>
        <d v="2021-11-09T00:00:00"/>
        <d v="2021-11-10T00:00:00"/>
        <d v="2021-11-11T00:00:00"/>
        <d v="2021-11-12T00:00:00"/>
        <d v="2021-11-15T00:00:00"/>
        <d v="2021-11-16T00:00:00"/>
        <d v="2021-11-17T00:00:00"/>
        <d v="2021-11-18T00:00:00"/>
        <d v="2021-11-19T00:00:00"/>
        <d v="2021-11-22T00:00:00"/>
        <d v="2021-11-23T00:00:00"/>
        <d v="2021-11-24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7T00:00:00"/>
        <d v="2021-12-28T00:00:00"/>
        <d v="2021-12-29T00:00:00"/>
        <d v="2021-12-30T00:00:00"/>
        <d v="2021-12-31T00:00:00"/>
        <d v="2022-01-03T00:00:00"/>
        <d v="2022-01-04T00:00:00"/>
        <d v="2022-01-05T00:00:00"/>
        <d v="2022-01-06T00:00:00"/>
        <d v="2022-01-07T00:00:00"/>
        <d v="2022-01-10T00:00:00"/>
        <d v="2022-01-11T00:00:00"/>
        <d v="2022-01-12T00:00:00"/>
        <d v="2022-01-13T00:00:00"/>
        <d v="2022-01-14T00:00:00"/>
        <d v="2022-01-18T00:00:00"/>
        <d v="2022-01-19T00:00:00"/>
        <d v="2022-01-20T00:00:00"/>
        <d v="2022-01-21T00:00:00"/>
        <d v="2022-01-24T00:00:00"/>
        <d v="2022-01-25T00:00:00"/>
        <d v="2022-01-26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2T00:00:00"/>
        <d v="2022-02-23T00:00:00"/>
        <d v="2022-02-24T00:00:00"/>
        <d v="2022-02-25T00:00:00"/>
        <d v="2022-02-28T00:00:00"/>
        <d v="2022-03-01T00:00:00"/>
        <d v="2022-03-02T00:00:00"/>
        <d v="2022-03-03T00:00:00"/>
        <d v="2022-03-04T00:00:00"/>
        <d v="2022-03-07T00:00:00"/>
        <d v="2022-03-08T00:00:00"/>
        <d v="2022-03-09T00:00:00"/>
        <d v="2022-03-10T00:00:00"/>
        <d v="2022-03-11T00:00:00"/>
        <d v="2022-03-14T00:00:00"/>
        <d v="2022-03-15T00:00:00"/>
        <d v="2022-03-16T00:00:00"/>
        <d v="2022-03-17T00:00:00"/>
        <d v="2022-03-18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4T00:00:00"/>
      </sharedItems>
      <fieldGroup par="8" base="0">
        <rangePr groupBy="months" startDate="1986-03-13T00:00:00" endDate="2022-04-15T00:00:00"/>
        <groupItems count="14">
          <s v="&lt;1986-03-13"/>
          <s v="Jan"/>
          <s v="Feb"/>
          <s v="Mar"/>
          <s v="Apr"/>
          <s v="May"/>
          <s v="Jun"/>
          <s v="Jul"/>
          <s v="Aug"/>
          <s v="Sep"/>
          <s v="Oct"/>
          <s v="Nov"/>
          <s v="Dec"/>
          <s v="&gt;2022-04-15"/>
        </groupItems>
      </fieldGroup>
    </cacheField>
    <cacheField name="Open" numFmtId="0">
      <sharedItems containsSemiMixedTypes="0" containsString="0" containsNumber="1" minValue="8.8541999999999996E-2" maxValue="344.61999500000002"/>
    </cacheField>
    <cacheField name="High" numFmtId="0">
      <sharedItems containsSemiMixedTypes="0" containsString="0" containsNumber="1" minValue="9.2013999999999999E-2" maxValue="349.67001299999998"/>
    </cacheField>
    <cacheField name="Low" numFmtId="0">
      <sharedItems containsSemiMixedTypes="0" containsString="0" containsNumber="1" minValue="8.8541999999999996E-2" maxValue="342.20001200000002"/>
    </cacheField>
    <cacheField name="Close" numFmtId="0">
      <sharedItems containsSemiMixedTypes="0" containsString="0" containsNumber="1" minValue="9.0277999999999997E-2" maxValue="343.10998499999999" count="5387">
        <n v="9.7222000000000003E-2"/>
        <n v="0.10069400000000001"/>
        <n v="0.10243099999999999"/>
        <n v="9.9825999999999998E-2"/>
        <n v="9.8089999999999997E-2"/>
        <n v="9.5486000000000001E-2"/>
        <n v="9.2882000000000006E-2"/>
        <n v="9.0277999999999997E-2"/>
        <n v="9.2013999999999999E-2"/>
        <n v="9.4617999999999994E-2"/>
        <n v="9.6353999999999995E-2"/>
        <n v="0.104167"/>
        <n v="0.105035"/>
        <n v="0.101563"/>
        <n v="0.10026"/>
        <n v="0.11024299999999999"/>
        <n v="0.117188"/>
        <n v="0.11805599999999999"/>
        <n v="0.114583"/>
        <n v="0.111979"/>
        <n v="0.109375"/>
        <n v="0.111111"/>
        <n v="0.107639"/>
        <n v="0.121528"/>
        <n v="0.118924"/>
        <n v="0.113715"/>
        <n v="0.10850700000000001"/>
        <n v="0.108941"/>
        <n v="0.103299"/>
        <n v="0.106771"/>
        <n v="9.5920000000000005E-2"/>
        <n v="0.105903"/>
        <n v="9.8958000000000004E-2"/>
        <n v="0.106337"/>
        <n v="9.375E-2"/>
        <n v="0.102865"/>
        <n v="0.108073"/>
        <n v="0.119792"/>
        <n v="0.11631900000000001"/>
        <n v="0.125"/>
        <n v="0.12586800000000001"/>
        <n v="0.131076"/>
        <n v="0.13020799999999999"/>
        <n v="0.134549"/>
        <n v="0.13758699999999999"/>
        <n v="0.13368099999999999"/>
        <n v="0.13628499999999999"/>
        <n v="0.137153"/>
        <n v="0.14236099999999999"/>
        <n v="0.15104200000000001"/>
        <n v="0.15451400000000001"/>
        <n v="0.153646"/>
        <n v="0.14756900000000001"/>
        <n v="0.14843799999999999"/>
        <n v="0.14626700000000001"/>
        <n v="0.140625"/>
        <n v="0.14583299999999999"/>
        <n v="0.15711800000000001"/>
        <n v="0.162326"/>
        <n v="0.175347"/>
        <n v="0.17708299999999999"/>
        <n v="0.17274300000000001"/>
        <n v="0.169271"/>
        <n v="0.17013900000000001"/>
        <n v="0.16883699999999999"/>
        <n v="0.17100699999999999"/>
        <n v="0.168403"/>
        <n v="0.16753499999999999"/>
        <n v="0.16406299999999999"/>
        <n v="0.159722"/>
        <n v="0.16145799999999999"/>
        <n v="0.16319400000000001"/>
        <n v="0.164497"/>
        <n v="0.171875"/>
        <n v="0.17144100000000001"/>
        <n v="0.165799"/>
        <n v="0.177951"/>
        <n v="0.1875"/>
        <n v="0.193576"/>
        <n v="0.20138900000000001"/>
        <n v="0.21440999999999999"/>
        <n v="0.20833299999999999"/>
        <n v="0.21961800000000001"/>
        <n v="0.222222"/>
        <n v="0.22569400000000001"/>
        <n v="0.23524300000000001"/>
        <n v="0.25868099999999999"/>
        <n v="0.234375"/>
        <n v="0.23871500000000001"/>
        <n v="0.24826400000000001"/>
        <n v="0.24913199999999999"/>
        <n v="0.25390600000000002"/>
        <n v="0.25347199999999998"/>
        <n v="0.25"/>
        <n v="0.239149"/>
        <n v="0.236979"/>
        <n v="0.237847"/>
        <n v="0.26649299999999998"/>
        <n v="0.26388899999999998"/>
        <n v="0.265625"/>
        <n v="0.23611099999999999"/>
        <n v="0.25086799999999998"/>
        <n v="0.263021"/>
        <n v="0.268229"/>
        <n v="0.27690999999999999"/>
        <n v="0.28993099999999999"/>
        <n v="0.28906300000000001"/>
        <n v="0.283854"/>
        <n v="0.29253499999999999"/>
        <n v="0.296875"/>
        <n v="0.29817700000000003"/>
        <n v="0.28732600000000003"/>
        <n v="0.28559000000000001"/>
        <n v="0.29513899999999998"/>
        <n v="0.31076399999999998"/>
        <n v="0.31684000000000001"/>
        <n v="0.31336799999999998"/>
        <n v="0.31119799999999997"/>
        <n v="0.31206600000000001"/>
        <n v="0.309896"/>
        <n v="0.31857600000000003"/>
        <n v="0.33593800000000001"/>
        <n v="0.31597199999999998"/>
        <n v="0.32986100000000002"/>
        <n v="0.346354"/>
        <n v="0.34461799999999998"/>
        <n v="0.32638899999999998"/>
        <n v="0.33203100000000002"/>
        <n v="0.32118099999999999"/>
        <n v="0.33333299999999999"/>
        <n v="0.34201399999999998"/>
        <n v="0.33246500000000001"/>
        <n v="0.33767399999999997"/>
        <n v="0.34375"/>
        <n v="0.36892399999999997"/>
        <n v="0.35850700000000002"/>
        <n v="0.36111100000000002"/>
        <n v="0.36458299999999999"/>
        <n v="0.37152800000000002"/>
        <n v="0.40190999999999999"/>
        <n v="0.39236100000000002"/>
        <n v="0.41059000000000001"/>
        <n v="0.43923600000000002"/>
        <n v="0.42708299999999999"/>
        <n v="0.41232600000000003"/>
        <n v="0.42274299999999998"/>
        <n v="0.42621500000000001"/>
        <n v="0.41406300000000001"/>
        <n v="0.40017399999999997"/>
        <n v="0.38628499999999999"/>
        <n v="0.38020799999999999"/>
        <n v="0.38715300000000002"/>
        <n v="0.37586799999999998"/>
        <n v="0.403646"/>
        <n v="0.390625"/>
        <n v="0.393229"/>
        <n v="0.37934000000000001"/>
        <n v="0.38107600000000003"/>
        <n v="0.37847199999999998"/>
        <n v="0.359375"/>
        <n v="0.33854200000000001"/>
        <n v="0.341146"/>
        <n v="0.34809000000000001"/>
        <n v="0.36024299999999998"/>
        <n v="0.364149"/>
        <n v="0.36284699999999998"/>
        <n v="0.356771"/>
        <n v="0.36371500000000001"/>
        <n v="0.361979"/>
        <n v="0.35416700000000001"/>
        <n v="0.35590300000000002"/>
        <n v="0.34722199999999998"/>
        <n v="0.32378499999999999"/>
        <n v="0.33680599999999999"/>
        <n v="0.35503499999999999"/>
        <n v="0.34548600000000002"/>
        <n v="0.33940999999999999"/>
        <n v="0.325521"/>
        <n v="0.35069400000000001"/>
        <n v="0.35243099999999999"/>
        <n v="0.35763899999999998"/>
        <n v="0.36545100000000003"/>
        <n v="0.388021"/>
        <n v="0.39843800000000001"/>
        <n v="0.40104200000000001"/>
        <n v="0.41753499999999999"/>
        <n v="0.39409699999999998"/>
        <n v="0.39930599999999999"/>
        <n v="0.38888899999999998"/>
        <n v="0.39149299999999998"/>
        <n v="0.39756900000000001"/>
        <n v="0.40928799999999999"/>
        <n v="0.40538200000000002"/>
        <n v="0.40277800000000002"/>
        <n v="0.41840300000000002"/>
        <n v="0.42534699999999998"/>
        <n v="0.43055599999999999"/>
        <n v="0.44444400000000001"/>
        <n v="0.44618099999999999"/>
        <n v="0.46006900000000001"/>
        <n v="0.47569400000000001"/>
        <n v="0.50347200000000003"/>
        <n v="0.54861099999999996"/>
        <n v="0.51215299999999997"/>
        <n v="0.50694399999999995"/>
        <n v="0.5"/>
        <n v="0.49826399999999998"/>
        <n v="0.49652800000000002"/>
        <n v="0.50868100000000005"/>
        <n v="0.49479200000000001"/>
        <n v="0.48958299999999999"/>
        <n v="0.44965300000000002"/>
        <n v="0.31423600000000002"/>
        <n v="0.36979200000000001"/>
        <n v="0.33506900000000001"/>
        <n v="0.27256900000000001"/>
        <n v="0.28645799999999999"/>
        <n v="0.33159699999999998"/>
        <n v="0.34895799999999999"/>
        <n v="0.34027800000000002"/>
        <n v="0.32465300000000002"/>
        <n v="0.31944400000000001"/>
        <n v="0.30381900000000001"/>
        <n v="0.30555599999999999"/>
        <n v="0.28038200000000002"/>
        <n v="0.29166700000000001"/>
        <n v="0.30034699999999998"/>
        <n v="0.37673600000000002"/>
        <n v="0.39583299999999999"/>
        <n v="0.40625"/>
        <n v="0.42013899999999998"/>
        <n v="0.375"/>
        <n v="0.38194400000000001"/>
        <n v="0.37413200000000002"/>
        <n v="0.38368099999999999"/>
        <n v="0.36631900000000001"/>
        <n v="0.37326399999999998"/>
        <n v="0.40798600000000002"/>
        <n v="0.41319400000000001"/>
        <n v="0.41579899999999997"/>
        <n v="0.40451399999999998"/>
        <n v="0.40972199999999998"/>
        <n v="0.42361100000000002"/>
        <n v="0.421875"/>
        <n v="0.434896"/>
        <n v="0.44357600000000003"/>
        <n v="0.43576399999999998"/>
        <n v="0.43402800000000002"/>
        <n v="0.44184000000000001"/>
        <n v="0.38975700000000002"/>
        <n v="0.39496500000000001"/>
        <n v="0.36805599999999999"/>
        <n v="0.377604"/>
        <n v="0.38281300000000001"/>
        <n v="0.38541700000000001"/>
        <n v="0.38454899999999997"/>
        <n v="0.39670100000000003"/>
        <n v="0.41145799999999999"/>
        <n v="0.42881900000000001"/>
        <n v="0.43229200000000001"/>
        <n v="0.43315999999999999"/>
        <n v="0.4375"/>
        <n v="0.44097199999999998"/>
        <n v="0.46527800000000002"/>
        <n v="0.45833299999999999"/>
        <n v="0.453125"/>
        <n v="0.45659699999999998"/>
        <n v="0.47222199999999998"/>
        <n v="0.48350700000000002"/>
        <n v="0.47743099999999999"/>
        <n v="0.46354200000000001"/>
        <n v="0.455729"/>
        <n v="0.46875"/>
        <n v="0.34288200000000002"/>
        <n v="0.35156300000000001"/>
        <n v="0.328125"/>
        <n v="0.32291700000000001"/>
        <n v="0.330729"/>
        <n v="0.32204899999999997"/>
        <n v="0.32899299999999998"/>
        <n v="0.372396"/>
        <n v="0.37065999999999999"/>
        <n v="0.43142399999999997"/>
        <n v="0.44270799999999999"/>
        <n v="0.42968800000000001"/>
        <n v="0.41666700000000001"/>
        <n v="0.419271"/>
        <n v="0.41493099999999999"/>
        <n v="0.34982600000000003"/>
        <n v="0.33420100000000003"/>
        <n v="0.408854"/>
        <n v="0.45138899999999998"/>
        <n v="0.45486100000000002"/>
        <n v="0.46701399999999998"/>
        <n v="0.46267399999999997"/>
        <n v="0.47916700000000001"/>
        <n v="0.52430600000000005"/>
        <n v="0.55034700000000003"/>
        <n v="0.55381899999999995"/>
        <n v="0.56770799999999999"/>
        <n v="0.56423599999999996"/>
        <n v="0.55555600000000005"/>
        <n v="0.54513900000000004"/>
        <n v="0.51041700000000001"/>
        <n v="0.52604200000000001"/>
        <n v="0.54600700000000002"/>
        <n v="0.55902799999999997"/>
        <n v="0.58506899999999995"/>
        <n v="0.59201400000000004"/>
        <n v="0.57725700000000002"/>
        <n v="0.56163200000000002"/>
        <n v="0.53993100000000005"/>
        <n v="0.53472200000000003"/>
        <n v="0.55295099999999997"/>
        <n v="0.57031299999999996"/>
        <n v="0.52951400000000004"/>
        <n v="0.54340299999999997"/>
        <n v="0.53645799999999999"/>
        <n v="0.5625"/>
        <n v="0.578125"/>
        <n v="0.58159700000000003"/>
        <n v="0.58680600000000005"/>
        <n v="0.61197900000000005"/>
        <n v="0.60069399999999995"/>
        <n v="0.61458299999999999"/>
        <n v="0.60763900000000004"/>
        <n v="0.60329900000000003"/>
        <n v="0.61284700000000003"/>
        <n v="0.60850700000000002"/>
        <n v="0.60243100000000005"/>
        <n v="0.60416700000000001"/>
        <n v="0.59375"/>
        <n v="0.59027799999999997"/>
        <n v="0.59895799999999999"/>
        <n v="0.58854200000000001"/>
        <n v="0.57638900000000004"/>
        <n v="0.57291700000000001"/>
        <n v="0.54166700000000001"/>
        <n v="0.55815999999999999"/>
        <n v="0.57465299999999997"/>
        <n v="0.57986099999999996"/>
        <n v="0.59548599999999996"/>
        <n v="0.61631899999999995"/>
        <n v="0.61979200000000001"/>
        <n v="0.63802099999999995"/>
        <n v="0.62239599999999995"/>
        <n v="0.63194399999999995"/>
        <n v="0.63020799999999999"/>
        <n v="0.59809000000000001"/>
        <n v="0.65972200000000003"/>
        <n v="0.65364599999999995"/>
        <n v="0.62326400000000004"/>
        <n v="0.63541700000000001"/>
        <n v="0.63368100000000005"/>
        <n v="0.64236099999999996"/>
        <n v="0.65104200000000001"/>
        <n v="0.65451400000000004"/>
        <n v="0.65277799999999997"/>
        <n v="0.64756899999999995"/>
        <n v="0.65625"/>
        <n v="0.65798599999999996"/>
        <n v="0.67361099999999996"/>
        <n v="0.68055600000000005"/>
        <n v="0.69618100000000005"/>
        <n v="0.66753499999999999"/>
        <n v="0.66927099999999995"/>
        <n v="0.67708299999999999"/>
        <n v="0.68923599999999996"/>
        <n v="0.68576400000000004"/>
        <n v="0.69444399999999995"/>
        <n v="0.72048599999999996"/>
        <n v="0.73090299999999997"/>
        <n v="0.72569399999999995"/>
        <n v="0.71354200000000001"/>
        <n v="0.73784700000000003"/>
        <n v="0.73958299999999999"/>
        <n v="0.75173599999999996"/>
        <n v="0.74913200000000002"/>
        <n v="0.77083299999999999"/>
        <n v="0.79166700000000001"/>
        <n v="0.80902799999999997"/>
        <n v="0.78472200000000003"/>
        <n v="0.78645799999999999"/>
        <n v="0.77256899999999995"/>
        <n v="0.765625"/>
        <n v="0.77430600000000005"/>
        <n v="0.78125"/>
        <n v="0.76736099999999996"/>
        <n v="0.76909700000000003"/>
        <n v="0.80555600000000005"/>
        <n v="0.8125"/>
        <n v="0.79513900000000004"/>
        <n v="0.79340299999999997"/>
        <n v="0.81944399999999995"/>
        <n v="0.84027799999999997"/>
        <n v="0.83854200000000001"/>
        <n v="0.84375"/>
        <n v="0.86111099999999996"/>
        <n v="0.84201400000000004"/>
        <n v="0.82638900000000004"/>
        <n v="0.82291700000000001"/>
        <n v="0.796875"/>
        <n v="0.85763900000000004"/>
        <n v="0.88888900000000004"/>
        <n v="0.87152799999999997"/>
        <n v="0.89583299999999999"/>
        <n v="0.90972200000000003"/>
        <n v="0.91319399999999995"/>
        <n v="0.89930600000000005"/>
        <n v="0.94791700000000001"/>
        <n v="0.97569399999999995"/>
        <n v="0.99305600000000005"/>
        <n v="1.0538190000000001"/>
        <n v="1.0625"/>
        <n v="1.03125"/>
        <n v="1.045139"/>
        <n v="1.048611"/>
        <n v="1.013889"/>
        <n v="1.0434030000000001"/>
        <n v="1.0190969999999999"/>
        <n v="1"/>
        <n v="1.0208330000000001"/>
        <n v="1.0399309999999999"/>
        <n v="1.0555559999999999"/>
        <n v="1.0416669999999999"/>
        <n v="1.078125"/>
        <n v="1.0694440000000001"/>
        <n v="1.0520830000000001"/>
        <n v="1.0347219999999999"/>
        <n v="1.0381940000000001"/>
        <n v="1.0590280000000001"/>
        <n v="1.0243059999999999"/>
        <n v="1.0034719999999999"/>
        <n v="1.017361"/>
        <n v="1.076389"/>
        <n v="1.0885419999999999"/>
        <n v="1.1006940000000001"/>
        <n v="1.079861"/>
        <n v="1.0659719999999999"/>
        <n v="0.96527799999999997"/>
        <n v="0.95486099999999996"/>
        <n v="0.95833299999999999"/>
        <n v="0.94444399999999995"/>
        <n v="0.92361099999999996"/>
        <n v="0.92708299999999999"/>
        <n v="0.91666700000000001"/>
        <n v="0.87847200000000003"/>
        <n v="0.85069399999999995"/>
        <n v="0.88194399999999995"/>
        <n v="0.90451400000000004"/>
        <n v="0.90277799999999997"/>
        <n v="0.89236099999999996"/>
        <n v="0.83680600000000005"/>
        <n v="0.75347200000000003"/>
        <n v="0.74652799999999997"/>
        <n v="0.71875"/>
        <n v="0.87326400000000004"/>
        <n v="0.83333299999999999"/>
        <n v="0.85416700000000001"/>
        <n v="0.86458299999999999"/>
        <n v="0.79861099999999996"/>
        <n v="0.80208299999999999"/>
        <n v="0.82986099999999996"/>
        <n v="0.875"/>
        <n v="0.93229200000000001"/>
        <n v="0.91493100000000005"/>
        <n v="0.890625"/>
        <n v="0.75868100000000005"/>
        <n v="0.84895799999999999"/>
        <n v="0.90798599999999996"/>
        <n v="0.88020799999999999"/>
        <n v="0.86805600000000005"/>
        <n v="0.88715299999999997"/>
        <n v="0.88541700000000001"/>
        <n v="0.91145799999999999"/>
        <n v="0.95659700000000003"/>
        <n v="0.953125"/>
        <n v="0.94270799999999999"/>
        <n v="0.99826400000000004"/>
        <n v="0.97743100000000005"/>
        <n v="0.98958299999999999"/>
        <n v="1.0260419999999999"/>
        <n v="1.0277780000000001"/>
        <n v="1.001736"/>
        <n v="1.0069440000000001"/>
        <n v="1.0104169999999999"/>
        <n v="1.0225690000000001"/>
        <n v="1.0868059999999999"/>
        <n v="1.0833330000000001"/>
        <n v="1.142361"/>
        <n v="1.1666669999999999"/>
        <n v="1.1840280000000001"/>
        <n v="1.2430559999999999"/>
        <n v="1.234375"/>
        <n v="1.236111"/>
        <n v="1.2569440000000001"/>
        <n v="1.28125"/>
        <n v="1.2847219999999999"/>
        <n v="1.3368059999999999"/>
        <n v="1.3628469999999999"/>
        <n v="1.3854169999999999"/>
        <n v="1.376736"/>
        <n v="1.40625"/>
        <n v="1.46875"/>
        <n v="1.4305559999999999"/>
        <n v="1.4444440000000001"/>
        <n v="1.4479169999999999"/>
        <n v="1.4340280000000001"/>
        <n v="1.4652780000000001"/>
        <n v="1.3993059999999999"/>
        <n v="1.423611"/>
        <n v="1.4270830000000001"/>
        <n v="1.388889"/>
        <n v="1.420139"/>
        <n v="1.4131940000000001"/>
        <n v="1.4618059999999999"/>
        <n v="1.4409719999999999"/>
        <n v="1.486111"/>
        <n v="1.548611"/>
        <n v="1.4895830000000001"/>
        <n v="1.3784719999999999"/>
        <n v="1.329861"/>
        <n v="1.3958330000000001"/>
        <n v="1.361111"/>
        <n v="1.342014"/>
        <n v="1.375"/>
        <n v="1.3159719999999999"/>
        <n v="1.3020830000000001"/>
        <n v="1.3645830000000001"/>
        <n v="1.4600690000000001"/>
        <n v="1.4965280000000001"/>
        <n v="1.4739580000000001"/>
        <n v="1.482639"/>
        <n v="1.5590280000000001"/>
        <n v="1.579861"/>
        <n v="1.5277780000000001"/>
        <n v="1.546875"/>
        <n v="1.53125"/>
        <n v="1.4930559999999999"/>
        <n v="1.5416669999999999"/>
        <n v="1.4184030000000001"/>
        <n v="1.4114580000000001"/>
        <n v="1.357639"/>
        <n v="1.4322919999999999"/>
        <n v="1.3802080000000001"/>
        <n v="1.4166669999999999"/>
        <n v="1.5208330000000001"/>
        <n v="1.5381940000000001"/>
        <n v="1.5243059999999999"/>
        <n v="1.5555559999999999"/>
        <n v="1.5694440000000001"/>
        <n v="1.5434030000000001"/>
        <n v="1.5347219999999999"/>
        <n v="1.5364580000000001"/>
        <n v="1.576389"/>
        <n v="1.435764"/>
        <n v="1.3715280000000001"/>
        <n v="1.4192709999999999"/>
        <n v="1.4869790000000001"/>
        <n v="1.3333330000000001"/>
        <n v="1.2864580000000001"/>
        <n v="1.4140630000000001"/>
        <n v="1.359375"/>
        <n v="1.4557290000000001"/>
        <n v="1.4791669999999999"/>
        <n v="1.4635419999999999"/>
        <n v="1.515625"/>
        <n v="1.5260419999999999"/>
        <n v="1.5052080000000001"/>
        <n v="1.5520830000000001"/>
        <n v="1.5833330000000001"/>
        <n v="1.6458330000000001"/>
        <n v="1.6822919999999999"/>
        <n v="1.7291669999999999"/>
        <n v="1.71875"/>
        <n v="1.6979169999999999"/>
        <n v="1.703125"/>
        <n v="1.671875"/>
        <n v="1.6770830000000001"/>
        <n v="1.75"/>
        <n v="1.7760419999999999"/>
        <n v="1.765625"/>
        <n v="1.7838540000000001"/>
        <n v="1.7864580000000001"/>
        <n v="1.7317709999999999"/>
        <n v="1.7213540000000001"/>
        <n v="1.6666669999999999"/>
        <n v="1.7083330000000001"/>
        <n v="1.7604169999999999"/>
        <n v="1.796875"/>
        <n v="1.8020830000000001"/>
        <n v="1.7682290000000001"/>
        <n v="1.8333330000000001"/>
        <n v="1.828125"/>
        <n v="1.859375"/>
        <n v="1.8385419999999999"/>
        <n v="1.8541669999999999"/>
        <n v="1.8515630000000001"/>
        <n v="1.8125"/>
        <n v="1.8229169999999999"/>
        <n v="1.8359380000000001"/>
        <n v="1.84375"/>
        <n v="1.8645830000000001"/>
        <n v="1.8697919999999999"/>
        <n v="1.8671880000000001"/>
        <n v="1.921875"/>
        <n v="1.9036459999999999"/>
        <n v="1.890625"/>
        <n v="1.875"/>
        <n v="1.8958330000000001"/>
        <n v="1.8802080000000001"/>
        <n v="1.96875"/>
        <n v="1.9557290000000001"/>
        <n v="1.9296880000000001"/>
        <n v="1.953125"/>
        <n v="1.984375"/>
        <n v="1.9739580000000001"/>
        <n v="2.03125"/>
        <n v="2.0807289999999998"/>
        <n v="2.1041669999999999"/>
        <n v="2.0677080000000001"/>
        <n v="1.9791669999999999"/>
        <n v="2.0260419999999999"/>
        <n v="2.0052080000000001"/>
        <n v="2.0104169999999999"/>
        <n v="2"/>
        <n v="1.9921880000000001"/>
        <n v="2.109375"/>
        <n v="2.1119789999999998"/>
        <n v="2.125"/>
        <n v="2.1197919999999999"/>
        <n v="2.171875"/>
        <n v="2.0989580000000001"/>
        <n v="2.1276039999999998"/>
        <n v="2.1223960000000002"/>
        <n v="2.1432289999999998"/>
        <n v="2.140625"/>
        <n v="2.1510419999999999"/>
        <n v="2.2239580000000001"/>
        <n v="2.2135419999999999"/>
        <n v="2.2473960000000002"/>
        <n v="2.2994789999999998"/>
        <n v="2.3072919999999999"/>
        <n v="2.3177080000000001"/>
        <n v="2.375"/>
        <n v="2.3541669999999999"/>
        <n v="2.4270830000000001"/>
        <n v="2.5"/>
        <n v="2.5885419999999999"/>
        <n v="2.6510419999999999"/>
        <n v="2.609375"/>
        <n v="2.6484380000000001"/>
        <n v="2.671875"/>
        <n v="2.7395830000000001"/>
        <n v="2.6614580000000001"/>
        <n v="2.6354169999999999"/>
        <n v="2.5520830000000001"/>
        <n v="2.4869789999999998"/>
        <n v="2.6145830000000001"/>
        <n v="2.6041669999999999"/>
        <n v="2.5963539999999998"/>
        <n v="2.5130210000000002"/>
        <n v="2.515625"/>
        <n v="2.59375"/>
        <n v="2.5729169999999999"/>
        <n v="2.5052080000000001"/>
        <n v="2.6302080000000001"/>
        <n v="2.6197919999999999"/>
        <n v="2.46875"/>
        <n v="2.4635419999999999"/>
        <n v="2.3984380000000001"/>
        <n v="2.4479169999999999"/>
        <n v="2.3854169999999999"/>
        <n v="2.3932289999999998"/>
        <n v="2.4114580000000001"/>
        <n v="2.5416669999999999"/>
        <n v="2.6015630000000001"/>
        <n v="2.5625"/>
        <n v="2.5677080000000001"/>
        <n v="2.5260419999999999"/>
        <n v="2.4791669999999999"/>
        <n v="2.5364580000000001"/>
        <n v="2.5234380000000001"/>
        <n v="2.5208330000000001"/>
        <n v="2.6666669999999999"/>
        <n v="2.6328130000000001"/>
        <n v="2.65625"/>
        <n v="2.6770830000000001"/>
        <n v="2.5104169999999999"/>
        <n v="2.4375"/>
        <n v="2.4166669999999999"/>
        <n v="2.4427080000000001"/>
        <n v="2.6848960000000002"/>
        <n v="2.6588539999999998"/>
        <n v="2.4609380000000001"/>
        <n v="2.4192710000000002"/>
        <n v="2.4505210000000002"/>
        <n v="2.3385419999999999"/>
        <n v="2.359375"/>
        <n v="2.2708330000000001"/>
        <n v="2.3203130000000001"/>
        <n v="2.296875"/>
        <n v="2.3697919999999999"/>
        <n v="2.3958330000000001"/>
        <n v="2.3802080000000001"/>
        <n v="2.3489580000000001"/>
        <n v="2.2916669999999999"/>
        <n v="2.4322919999999999"/>
        <n v="2.4296880000000001"/>
        <n v="2.40625"/>
        <n v="2.5598960000000002"/>
        <n v="2.5546880000000001"/>
        <n v="2.34375"/>
        <n v="2.25"/>
        <n v="2.3671880000000001"/>
        <n v="2.2734380000000001"/>
        <n v="2.2617189999999998"/>
        <n v="2.2578130000000001"/>
        <n v="2.1875"/>
        <n v="2.0859380000000001"/>
        <n v="2.2539060000000002"/>
        <n v="2.1835939999999998"/>
        <n v="2.1445310000000002"/>
        <n v="2.15625"/>
        <n v="2.2226560000000002"/>
        <n v="2.234375"/>
        <n v="2.1953130000000001"/>
        <n v="2.1640630000000001"/>
        <n v="2.2421880000000001"/>
        <n v="2.21875"/>
        <n v="2.28125"/>
        <n v="2.3125"/>
        <n v="2.2851560000000002"/>
        <n v="2.3046880000000001"/>
        <n v="2.3085939999999998"/>
        <n v="2.2109380000000001"/>
        <n v="2.2148439999999998"/>
        <n v="2.2304689999999998"/>
        <n v="2.1992189999999998"/>
        <n v="2.1796880000000001"/>
        <n v="2.2382810000000002"/>
        <n v="2.3007810000000002"/>
        <n v="2.3242189999999998"/>
        <n v="2.328125"/>
        <n v="2.3554689999999998"/>
        <n v="2.3945310000000002"/>
        <n v="2.4414060000000002"/>
        <n v="2.5390630000000001"/>
        <n v="2.5117189999999998"/>
        <n v="2.5351560000000002"/>
        <n v="2.4960939999999998"/>
        <n v="2.4726560000000002"/>
        <n v="2.5078130000000001"/>
        <n v="2.4882810000000002"/>
        <n v="2.578125"/>
        <n v="2.6054689999999998"/>
        <n v="2.5742189999999998"/>
        <n v="2.6210939999999998"/>
        <n v="2.640625"/>
        <n v="2.6679689999999998"/>
        <n v="2.7460939999999998"/>
        <n v="2.8125"/>
        <n v="2.8046880000000001"/>
        <n v="2.7695310000000002"/>
        <n v="2.75"/>
        <n v="2.765625"/>
        <n v="2.7734380000000001"/>
        <n v="2.8007810000000002"/>
        <n v="2.7578130000000001"/>
        <n v="2.8710939999999998"/>
        <n v="2.8984380000000001"/>
        <n v="2.9023439999999998"/>
        <n v="2.9296880000000001"/>
        <n v="2.921875"/>
        <n v="2.9140630000000001"/>
        <n v="2.875"/>
        <n v="2.9375"/>
        <n v="2.96875"/>
        <n v="2.859375"/>
        <n v="2.8476560000000002"/>
        <n v="2.8671880000000001"/>
        <n v="2.9101560000000002"/>
        <n v="2.8359380000000001"/>
        <n v="2.8632810000000002"/>
        <n v="2.9179689999999998"/>
        <n v="2.890625"/>
        <n v="2.78125"/>
        <n v="2.6992189999999998"/>
        <n v="2.7226560000000002"/>
        <n v="2.71875"/>
        <n v="2.828125"/>
        <n v="2.7421880000000001"/>
        <n v="2.7265630000000001"/>
        <n v="2.734375"/>
        <n v="2.703125"/>
        <n v="2.6835939999999998"/>
        <n v="2.6601560000000002"/>
        <n v="2.7851560000000002"/>
        <n v="2.8515630000000001"/>
        <n v="2.7890630000000001"/>
        <n v="2.7617189999999998"/>
        <n v="2.796875"/>
        <n v="2.7929689999999998"/>
        <n v="2.6953130000000001"/>
        <n v="2.6796880000000001"/>
        <n v="2.6640630000000001"/>
        <n v="2.6132810000000002"/>
        <n v="2.5039060000000002"/>
        <n v="2.5507810000000002"/>
        <n v="2.4921880000000001"/>
        <n v="2.484375"/>
        <n v="2.6367189999999998"/>
        <n v="2.546875"/>
        <n v="2.6445310000000002"/>
        <n v="2.6171880000000001"/>
        <n v="2.5859380000000001"/>
        <n v="2.7382810000000002"/>
        <n v="2.5976560000000002"/>
        <n v="2.7304689999999998"/>
        <n v="2.7070310000000002"/>
        <n v="2.84375"/>
        <n v="2.90625"/>
        <n v="2.8203130000000001"/>
        <n v="2.8164060000000002"/>
        <n v="2.7773439999999998"/>
        <n v="2.7109380000000001"/>
        <n v="2.6523439999999998"/>
        <n v="2.5429689999999998"/>
        <n v="2.6875"/>
        <n v="2.6914060000000002"/>
        <n v="2.9414060000000002"/>
        <n v="2.8789060000000002"/>
        <n v="2.9765630000000001"/>
        <n v="2.8945310000000002"/>
        <n v="3.0078130000000001"/>
        <n v="2.9921880000000001"/>
        <n v="2.9570310000000002"/>
        <n v="2.8828130000000001"/>
        <n v="2.8398439999999998"/>
        <n v="2.4257810000000002"/>
        <n v="2.4453130000000001"/>
        <n v="2.3359380000000001"/>
        <n v="2.2890630000000001"/>
        <n v="2.3515630000000001"/>
        <n v="2.4140630000000001"/>
        <n v="2.3828130000000001"/>
        <n v="2.3710939999999998"/>
        <n v="2.2460939999999998"/>
        <n v="2.2695310000000002"/>
        <n v="2.3476560000000002"/>
        <n v="2.3867189999999998"/>
        <n v="2.390625"/>
        <n v="2.3632810000000002"/>
        <n v="2.5703130000000001"/>
        <n v="2.625"/>
        <n v="2.5820310000000002"/>
        <n v="2.6289060000000002"/>
        <n v="2.5664060000000002"/>
        <n v="2.53125"/>
        <n v="2.5273439999999998"/>
        <n v="2.453125"/>
        <n v="2.5585939999999998"/>
        <n v="2.4179689999999998"/>
        <n v="2.5898439999999998"/>
        <n v="2.5195310000000002"/>
        <n v="2.6757810000000002"/>
        <n v="2.4804689999999998"/>
        <n v="2.4570310000000002"/>
        <n v="2.7539060000000002"/>
        <n v="2.9667970000000001"/>
        <n v="2.984375"/>
        <n v="2.9726560000000002"/>
        <n v="2.9492189999999998"/>
        <n v="2.953125"/>
        <n v="3.015625"/>
        <n v="3.0332029999999999"/>
        <n v="3.0742189999999998"/>
        <n v="3.0546880000000001"/>
        <n v="3.1601560000000002"/>
        <n v="3.1953130000000001"/>
        <n v="3.28125"/>
        <n v="3.25"/>
        <n v="3.2734380000000001"/>
        <n v="3.359375"/>
        <n v="3.3125"/>
        <n v="3.265625"/>
        <n v="3.3046880000000001"/>
        <n v="3.40625"/>
        <n v="3.3515630000000001"/>
        <n v="3.2851560000000002"/>
        <n v="3.3476560000000002"/>
        <n v="3.390625"/>
        <n v="3.34375"/>
        <n v="3.2890630000000001"/>
        <n v="3.21875"/>
        <n v="3.1328130000000001"/>
        <n v="3.09375"/>
        <n v="3.2421880000000001"/>
        <n v="3.2070310000000002"/>
        <n v="3.2109380000000001"/>
        <n v="3.2265630000000001"/>
        <n v="3.140625"/>
        <n v="3.0703130000000001"/>
        <n v="3.0195310000000002"/>
        <n v="3.1484380000000001"/>
        <n v="3.0234380000000001"/>
        <n v="3"/>
        <n v="3.046875"/>
        <n v="3.0390630000000001"/>
        <n v="3.15625"/>
        <n v="3.1992189999999998"/>
        <n v="3.3359380000000001"/>
        <n v="3.3007810000000002"/>
        <n v="3.296875"/>
        <n v="3.3828130000000001"/>
        <n v="3.453125"/>
        <n v="3.4023439999999998"/>
        <n v="3.4296880000000001"/>
        <n v="3.4921880000000001"/>
        <n v="3.46875"/>
        <n v="3.4140630000000001"/>
        <n v="3.484375"/>
        <n v="3.5117189999999998"/>
        <n v="3.5546880000000001"/>
        <n v="3.5664060000000002"/>
        <n v="3.6484380000000001"/>
        <n v="3.6328130000000001"/>
        <n v="3.5078130000000001"/>
        <n v="3.5"/>
        <n v="3.6210939999999998"/>
        <n v="3.5976560000000002"/>
        <n v="3.6015630000000001"/>
        <n v="3.640625"/>
        <n v="3.578125"/>
        <n v="3.5625"/>
        <n v="3.4726560000000002"/>
        <n v="3.53125"/>
        <n v="3.4375"/>
        <n v="3.3984380000000001"/>
        <n v="3.421875"/>
        <n v="3.4882810000000002"/>
        <n v="3.515625"/>
        <n v="3.4960939999999998"/>
        <n v="3.4453130000000001"/>
        <n v="3.5390630000000001"/>
        <n v="3.7265630000000001"/>
        <n v="3.7109380000000001"/>
        <n v="3.6796880000000001"/>
        <n v="3.7304689999999998"/>
        <n v="3.8125"/>
        <n v="3.8515630000000001"/>
        <n v="3.8828130000000001"/>
        <n v="3.9375"/>
        <n v="3.921875"/>
        <n v="3.9140630000000001"/>
        <n v="3.84375"/>
        <n v="3.8671880000000001"/>
        <n v="3.9765630000000001"/>
        <n v="3.984375"/>
        <n v="3.9804689999999998"/>
        <n v="3.890625"/>
        <n v="4.03125"/>
        <n v="4.0351559999999997"/>
        <n v="4.0390629999999996"/>
        <n v="4.015625"/>
        <n v="4.0078129999999996"/>
        <n v="3.96875"/>
        <n v="3.875"/>
        <n v="3.9609380000000001"/>
        <n v="3.9296880000000001"/>
        <n v="3.9101560000000002"/>
        <n v="3.953125"/>
        <n v="3.9570310000000002"/>
        <n v="3.90625"/>
        <n v="3.9453130000000001"/>
        <n v="3.7421880000000001"/>
        <n v="3.7890630000000001"/>
        <n v="3.8046880000000001"/>
        <n v="3.796875"/>
        <n v="3.8632810000000002"/>
        <n v="3.8203130000000001"/>
        <n v="3.7617189999999998"/>
        <n v="3.765625"/>
        <n v="3.8359380000000001"/>
        <n v="3.828125"/>
        <n v="4.0664059999999997"/>
        <n v="3.9257810000000002"/>
        <n v="3.8759769999999998"/>
        <n v="3.859375"/>
        <n v="3.6875"/>
        <n v="3.6953130000000001"/>
        <n v="3.7578130000000001"/>
        <n v="3.7734380000000001"/>
        <n v="3.734375"/>
        <n v="4.0195309999999997"/>
        <n v="4.0839840000000001"/>
        <n v="4.28125"/>
        <n v="4.2421879999999996"/>
        <n v="4.2851559999999997"/>
        <n v="4.3125"/>
        <n v="4.484375"/>
        <n v="4.40625"/>
        <n v="4.3828129999999996"/>
        <n v="4.3710940000000003"/>
        <n v="4.4453129999999996"/>
        <n v="4.4023440000000003"/>
        <n v="4.4335940000000003"/>
        <n v="4.546875"/>
        <n v="4.6171879999999996"/>
        <n v="4.5625"/>
        <n v="4.6015629999999996"/>
        <n v="4.515625"/>
        <n v="4.5078129999999996"/>
        <n v="4.375"/>
        <n v="4.3671879999999996"/>
        <n v="4.4140629999999996"/>
        <n v="4.3515629999999996"/>
        <n v="4.4765629999999996"/>
        <n v="4.53125"/>
        <n v="4.8359379999999996"/>
        <n v="4.796875"/>
        <n v="4.7578129999999996"/>
        <n v="4.703125"/>
        <n v="4.6875"/>
        <n v="4.859375"/>
        <n v="5"/>
        <n v="4.9765629999999996"/>
        <n v="4.9140629999999996"/>
        <n v="5.109375"/>
        <n v="5.1328129999999996"/>
        <n v="4.9726559999999997"/>
        <n v="5.0546879999999996"/>
        <n v="5.09375"/>
        <n v="4.9921879999999996"/>
        <n v="4.9882809999999997"/>
        <n v="4.953125"/>
        <n v="5.0859379999999996"/>
        <n v="5.046875"/>
        <n v="5.0820309999999997"/>
        <n v="5.3046879999999996"/>
        <n v="5.375"/>
        <n v="5.2890629999999996"/>
        <n v="5.3359379999999996"/>
        <n v="5.453125"/>
        <n v="5.53125"/>
        <n v="5.46875"/>
        <n v="5.578125"/>
        <n v="5.1875"/>
        <n v="5.2929690000000003"/>
        <n v="5.2578129999999996"/>
        <n v="5.1953129999999996"/>
        <n v="5.296875"/>
        <n v="5.25"/>
        <n v="5.234375"/>
        <n v="5.2421879999999996"/>
        <n v="5.2382809999999997"/>
        <n v="5.4375"/>
        <n v="5.6132809999999997"/>
        <n v="5.7109379999999996"/>
        <n v="5.65625"/>
        <n v="5.7421879999999996"/>
        <n v="5.6953129999999996"/>
        <n v="5.609375"/>
        <n v="5.4296879999999996"/>
        <n v="5.4921879999999996"/>
        <n v="5.5859379999999996"/>
        <n v="5.6484379999999996"/>
        <n v="5.6835940000000003"/>
        <n v="5.6679690000000003"/>
        <n v="5.796875"/>
        <n v="5.9765629999999996"/>
        <n v="6.1796879999999996"/>
        <n v="6.03125"/>
        <n v="6.2421879999999996"/>
        <n v="6.2578129999999996"/>
        <n v="6.4765629999999996"/>
        <n v="6.8125"/>
        <n v="6.3671879999999996"/>
        <n v="5.90625"/>
        <n v="6.0078129999999996"/>
        <n v="5.75"/>
        <n v="5.8515629999999996"/>
        <n v="6.0234379999999996"/>
        <n v="6"/>
        <n v="5.7890629999999996"/>
        <n v="5.59375"/>
        <n v="5.5625"/>
        <n v="5.8671879999999996"/>
        <n v="5.84375"/>
        <n v="5.8828129999999996"/>
        <n v="6.171875"/>
        <n v="6.1484379999999996"/>
        <n v="6.1953129999999996"/>
        <n v="6.0703129999999996"/>
        <n v="6.2070309999999997"/>
        <n v="6.1171879999999996"/>
        <n v="5.8984379999999996"/>
        <n v="5.6289059999999997"/>
        <n v="5.828125"/>
        <n v="5.78125"/>
        <n v="5.9375"/>
        <n v="5.9140629999999996"/>
        <n v="5.96875"/>
        <n v="6.1015629999999996"/>
        <n v="6.015625"/>
        <n v="5.9296879999999996"/>
        <n v="5.8398440000000003"/>
        <n v="5.8320309999999997"/>
        <n v="5.8203129999999996"/>
        <n v="5.6640629999999996"/>
        <n v="5.6396480000000002"/>
        <n v="5.515625"/>
        <n v="5.5390629999999996"/>
        <n v="5.71875"/>
        <n v="5.5546879999999996"/>
        <n v="5.3828129999999996"/>
        <n v="5.3671879999999996"/>
        <n v="5.4140629999999996"/>
        <n v="5.4765629999999996"/>
        <n v="5.390625"/>
        <n v="5.421875"/>
        <n v="6.046875"/>
        <n v="6.09375"/>
        <n v="5.9921879999999996"/>
        <n v="6.125"/>
        <n v="6.25"/>
        <n v="6.421875"/>
        <n v="6.21875"/>
        <n v="6.0859379999999996"/>
        <n v="5.8125"/>
        <n v="5.953125"/>
        <n v="6.1875"/>
        <n v="6.0546879999999996"/>
        <n v="6.0195309999999997"/>
        <n v="5.875"/>
        <n v="5.6171879999999996"/>
        <n v="5.4609379999999996"/>
        <n v="5.5"/>
        <n v="5.4453129999999996"/>
        <n v="5.734375"/>
        <n v="5.546875"/>
        <n v="5.5234379999999996"/>
        <n v="5.6796879999999996"/>
        <n v="5.625"/>
        <n v="5.640625"/>
        <n v="5.484375"/>
        <n v="5.3984379999999996"/>
        <n v="5.0117190000000003"/>
        <n v="5.1484379999999996"/>
        <n v="5.359375"/>
        <n v="5.15625"/>
        <n v="5.703125"/>
        <n v="5.6757809999999997"/>
        <n v="6.2265629999999996"/>
        <n v="6.15625"/>
        <n v="6.109375"/>
        <n v="6.40625"/>
        <n v="6.46875"/>
        <n v="6.2890629999999996"/>
        <n v="6.1679690000000003"/>
        <n v="6.1328129999999996"/>
        <n v="6.0625"/>
        <n v="6.0820309999999997"/>
        <n v="5.9453129999999996"/>
        <n v="5.984375"/>
        <n v="6.3046879999999996"/>
        <n v="6.3984379999999996"/>
        <n v="6.578125"/>
        <n v="6.6796879999999996"/>
        <n v="6.5390629999999996"/>
        <n v="6.296875"/>
        <n v="6.3203129999999996"/>
        <n v="6.390625"/>
        <n v="6.4453129999999996"/>
        <n v="6.53125"/>
        <n v="6.5234379999999996"/>
        <n v="6.484375"/>
        <n v="6.3515629999999996"/>
        <n v="6.4697269999999998"/>
        <n v="6.6210940000000003"/>
        <n v="6.859375"/>
        <n v="7.046875"/>
        <n v="7.0390629999999996"/>
        <n v="6.96875"/>
        <n v="7.09375"/>
        <n v="7.078125"/>
        <n v="7.1953129999999996"/>
        <n v="6.9765629999999996"/>
        <n v="6.9296879999999996"/>
        <n v="6.984375"/>
        <n v="7.0703129999999996"/>
        <n v="7.140625"/>
        <n v="7.1796879999999996"/>
        <n v="7.4140629999999996"/>
        <n v="7.4375"/>
        <n v="7.3515629999999996"/>
        <n v="7.3203129999999996"/>
        <n v="7.3125"/>
        <n v="7.296875"/>
        <n v="7.3046879999999996"/>
        <n v="7.40625"/>
        <n v="7.328125"/>
        <n v="7.390625"/>
        <n v="7.421875"/>
        <n v="7.3984379999999996"/>
        <n v="7.3671879999999996"/>
        <n v="7.5546879999999996"/>
        <n v="7.4882809999999997"/>
        <n v="7.578125"/>
        <n v="7.5390629999999996"/>
        <n v="7.6328129999999996"/>
        <n v="7.8125"/>
        <n v="7.7890629999999996"/>
        <n v="7.6875"/>
        <n v="7.6484379999999996"/>
        <n v="7.609375"/>
        <n v="7.7421879999999996"/>
        <n v="7.7578129999999996"/>
        <n v="7.625"/>
        <n v="7.53125"/>
        <n v="7.4960940000000003"/>
        <n v="7.5078129999999996"/>
        <n v="7.6445309999999997"/>
        <n v="7.6015629999999996"/>
        <n v="7.5703129999999996"/>
        <n v="7.5195309999999997"/>
        <n v="7.5"/>
        <n v="7.46875"/>
        <n v="7.15625"/>
        <n v="7.0234379999999996"/>
        <n v="6.9140629999999996"/>
        <n v="7.2109379999999996"/>
        <n v="7.4921879999999996"/>
        <n v="7.5615230000000002"/>
        <n v="7.484375"/>
        <n v="7.0078129999999996"/>
        <n v="7.171875"/>
        <n v="7.4453129999999996"/>
        <n v="7.7109379999999996"/>
        <n v="7.75"/>
        <n v="7.796875"/>
        <n v="7.828125"/>
        <n v="7.78125"/>
        <n v="7.71875"/>
        <n v="7.8046879999999996"/>
        <n v="7.8203129999999996"/>
        <n v="7.765625"/>
        <n v="7.703125"/>
        <n v="7.6796879999999996"/>
        <n v="7.8515629999999996"/>
        <n v="7.65625"/>
        <n v="7.59375"/>
        <n v="7.7734379999999996"/>
        <n v="8.0390630000000005"/>
        <n v="8.1875"/>
        <n v="8.21875"/>
        <n v="8.3671880000000005"/>
        <n v="8.53125"/>
        <n v="8.609375"/>
        <n v="8.6328130000000005"/>
        <n v="8.5546880000000005"/>
        <n v="8.4765630000000005"/>
        <n v="8.25"/>
        <n v="8.3984380000000005"/>
        <n v="8.2421880000000005"/>
        <n v="8.2578130000000005"/>
        <n v="8.421875"/>
        <n v="8.375"/>
        <n v="8.5234380000000005"/>
        <n v="8.59375"/>
        <n v="8.4609380000000005"/>
        <n v="8.40625"/>
        <n v="8.359375"/>
        <n v="8.5703130000000005"/>
        <n v="8.5390630000000005"/>
        <n v="8.6796880000000005"/>
        <n v="8.625"/>
        <n v="8.46875"/>
        <n v="8.28125"/>
        <n v="8.5273439999999994"/>
        <n v="8.515625"/>
        <n v="8.578125"/>
        <n v="8.5859380000000005"/>
        <n v="8.84375"/>
        <n v="9.03125"/>
        <n v="8.96875"/>
        <n v="8.9765630000000005"/>
        <n v="8.859375"/>
        <n v="9.0625"/>
        <n v="9.3515630000000005"/>
        <n v="9.3125"/>
        <n v="9.3984380000000005"/>
        <n v="9.7421880000000005"/>
        <n v="9.578125"/>
        <n v="9.40625"/>
        <n v="9.59375"/>
        <n v="9.609375"/>
        <n v="9.71875"/>
        <n v="9.8046880000000005"/>
        <n v="9.859375"/>
        <n v="9.6679689999999994"/>
        <n v="9.5625"/>
        <n v="9.5546880000000005"/>
        <n v="10.21875"/>
        <n v="10.234375"/>
        <n v="10.421875"/>
        <n v="10.125"/>
        <n v="10"/>
        <n v="9.984375"/>
        <n v="10.328125"/>
        <n v="10.609375"/>
        <n v="10.453125"/>
        <n v="10.46875"/>
        <n v="10.6875"/>
        <n v="10.53125"/>
        <n v="10.4375"/>
        <n v="10.203125"/>
        <n v="10.578125"/>
        <n v="10.546875"/>
        <n v="10.625"/>
        <n v="10.296875"/>
        <n v="10.671875"/>
        <n v="10.75"/>
        <n v="10.890625"/>
        <n v="11.34375"/>
        <n v="11.875"/>
        <n v="12.171875"/>
        <n v="11.84375"/>
        <n v="11.992188000000001"/>
        <n v="12.015625"/>
        <n v="11.953125"/>
        <n v="12.15625"/>
        <n v="12.640625"/>
        <n v="12.75"/>
        <n v="12.796875"/>
        <n v="12.890625"/>
        <n v="12.296875"/>
        <n v="12.140625"/>
        <n v="12.546875"/>
        <n v="12.21875"/>
        <n v="12.3125"/>
        <n v="12.484375"/>
        <n v="12.5"/>
        <n v="12.234375"/>
        <n v="12.1875"/>
        <n v="11.90625"/>
        <n v="12.515625"/>
        <n v="12.4375"/>
        <n v="12.53125"/>
        <n v="12.390625"/>
        <n v="12.609375"/>
        <n v="12.09375"/>
        <n v="12.34375"/>
        <n v="12.453125"/>
        <n v="12.375"/>
        <n v="12.5625"/>
        <n v="12"/>
        <n v="11.75"/>
        <n v="11.265625"/>
        <n v="11.289063000000001"/>
        <n v="11.78125"/>
        <n v="11.71875"/>
        <n v="11.460938000000001"/>
        <n v="11.65625"/>
        <n v="11.5"/>
        <n v="11.890625"/>
        <n v="11.773438000000001"/>
        <n v="11.984375"/>
        <n v="12.28125"/>
        <n v="12.25"/>
        <n v="12.265625"/>
        <n v="13.453125"/>
        <n v="13.828125"/>
        <n v="14.390625"/>
        <n v="14.265625"/>
        <n v="14.203125"/>
        <n v="14.359375"/>
        <n v="14.875"/>
        <n v="15.1875"/>
        <n v="15.125"/>
        <n v="15.09375"/>
        <n v="15.023438000000001"/>
        <n v="14.664063000000001"/>
        <n v="14.4375"/>
        <n v="14.546875"/>
        <n v="14.59375"/>
        <n v="14.765625"/>
        <n v="14.71875"/>
        <n v="14.484375"/>
        <n v="14.640625"/>
        <n v="14.429688000000001"/>
        <n v="14.890625"/>
        <n v="15.046875"/>
        <n v="15.078125"/>
        <n v="15.359375"/>
        <n v="15.828125"/>
        <n v="15.734375"/>
        <n v="15.5"/>
        <n v="15.546875"/>
        <n v="14.898438000000001"/>
        <n v="15.070313000000001"/>
        <n v="15.507813000000001"/>
        <n v="15.640625"/>
        <n v="15.601563000000001"/>
        <n v="15.875"/>
        <n v="16.203125"/>
        <n v="16.421875"/>
        <n v="16.773437999999999"/>
        <n v="16.273437999999999"/>
        <n v="16.164062999999999"/>
        <n v="16.234375"/>
        <n v="16.007812999999999"/>
        <n v="16.507812999999999"/>
        <n v="16.304687999999999"/>
        <n v="16.03125"/>
        <n v="15.9375"/>
        <n v="15.796875"/>
        <n v="15.617188000000001"/>
        <n v="16.046875"/>
        <n v="16.195312999999999"/>
        <n v="16.1875"/>
        <n v="16.40625"/>
        <n v="16.34375"/>
        <n v="16.21875"/>
        <n v="16.992187999999999"/>
        <n v="17.308593999999999"/>
        <n v="18.554687999999999"/>
        <n v="18.6875"/>
        <n v="17.5625"/>
        <n v="18.015625"/>
        <n v="17.679687999999999"/>
        <n v="17.25"/>
        <n v="17.3125"/>
        <n v="17.125"/>
        <n v="17.492187999999999"/>
        <n v="17.640625"/>
        <n v="17.671875"/>
        <n v="17.578125"/>
        <n v="17.695312999999999"/>
        <n v="17.914062999999999"/>
        <n v="17.929687999999999"/>
        <n v="17.992187999999999"/>
        <n v="17.5"/>
        <n v="17.28125"/>
        <n v="17"/>
        <n v="17.007812999999999"/>
        <n v="17.03125"/>
        <n v="16.609375"/>
        <n v="16.734375"/>
        <n v="17.351562999999999"/>
        <n v="17.570312999999999"/>
        <n v="17.234375"/>
        <n v="17.15625"/>
        <n v="17.0625"/>
        <n v="16.875"/>
        <n v="16.820312999999999"/>
        <n v="16.523437999999999"/>
        <n v="17.148437999999999"/>
        <n v="17.070312999999999"/>
        <n v="17.273437999999999"/>
        <n v="17.164062999999999"/>
        <n v="17.414062999999999"/>
        <n v="17.4375"/>
        <n v="16.890625"/>
        <n v="17.101562999999999"/>
        <n v="17.242187999999999"/>
        <n v="16.335937999999999"/>
        <n v="17.046875"/>
        <n v="16.648437999999999"/>
        <n v="16.53125"/>
        <n v="16.898437999999999"/>
        <n v="16.664062999999999"/>
        <n v="16.9375"/>
        <n v="16.554687999999999"/>
        <n v="16.59375"/>
        <n v="16.671875"/>
        <n v="16.8125"/>
        <n v="16.539062999999999"/>
        <n v="16.867187999999999"/>
        <n v="17.375"/>
        <n v="17.367187999999999"/>
        <n v="17.09375"/>
        <n v="17.085937999999999"/>
        <n v="16.96875"/>
        <n v="16.738281000000001"/>
        <n v="16.578125"/>
        <n v="16.960937999999999"/>
        <n v="16.953125"/>
        <n v="16.921875"/>
        <n v="16.109375"/>
        <n v="16.359375"/>
        <n v="16.078125"/>
        <n v="16.25"/>
        <n v="16.765625"/>
        <n v="16.78125"/>
        <n v="16.695312999999999"/>
        <n v="16.445312999999999"/>
        <n v="16.328125"/>
        <n v="16.148437999999999"/>
        <n v="16.859375"/>
        <n v="16.75"/>
        <n v="16.882812999999999"/>
        <n v="17.109375"/>
        <n v="17.6875"/>
        <n v="17.976562999999999"/>
        <n v="17.78125"/>
        <n v="18.085937999999999"/>
        <n v="17.820312999999999"/>
        <n v="17.890625"/>
        <n v="18.265625"/>
        <n v="18.039062999999999"/>
        <n v="17.382812999999999"/>
        <n v="17.015625"/>
        <n v="16.085937999999999"/>
        <n v="15.414063000000001"/>
        <n v="14.867188000000001"/>
        <n v="15.789063000000001"/>
        <n v="16.28125"/>
        <n v="16.15625"/>
        <n v="16.390625"/>
        <n v="16.296875"/>
        <n v="16.3125"/>
        <n v="16.515625"/>
        <n v="16.90625"/>
        <n v="17.226562999999999"/>
        <n v="17.328125"/>
        <n v="17.71875"/>
        <n v="18.148437999999999"/>
        <n v="18.625"/>
        <n v="18.53125"/>
        <n v="18.648437999999999"/>
        <n v="19.359375"/>
        <n v="19.484375"/>
        <n v="19.601562999999999"/>
        <n v="19.429687999999999"/>
        <n v="19.765625"/>
        <n v="19.648437999999999"/>
        <n v="19.90625"/>
        <n v="19.867187999999999"/>
        <n v="19.84375"/>
        <n v="19.6875"/>
        <n v="19.296875"/>
        <n v="19.328125"/>
        <n v="19.390625"/>
        <n v="20.40625"/>
        <n v="20.53125"/>
        <n v="21.234375"/>
        <n v="21.375"/>
        <n v="21.1875"/>
        <n v="20.828125"/>
        <n v="21.125"/>
        <n v="20.578125"/>
        <n v="20.015625"/>
        <n v="20.6875"/>
        <n v="19.898437999999999"/>
        <n v="20.375"/>
        <n v="20.171875"/>
        <n v="20.46875"/>
        <n v="20.59375"/>
        <n v="20.5"/>
        <n v="20.09375"/>
        <n v="20.4375"/>
        <n v="20.453125"/>
        <n v="20.96875"/>
        <n v="22.203125"/>
        <n v="22.0625"/>
        <n v="21.953125"/>
        <n v="21.984375"/>
        <n v="22.375"/>
        <n v="22.59375"/>
        <n v="22.828125"/>
        <n v="23.25"/>
        <n v="22.484375"/>
        <n v="21.8125"/>
        <n v="22.234375"/>
        <n v="22.25"/>
        <n v="22.15625"/>
        <n v="22.109375"/>
        <n v="22.84375"/>
        <n v="22.921875"/>
        <n v="23.03125"/>
        <n v="23.65625"/>
        <n v="23.71875"/>
        <n v="24.71875"/>
        <n v="23.625"/>
        <n v="22.578125"/>
        <n v="22.46875"/>
        <n v="22.625"/>
        <n v="22.53125"/>
        <n v="22.40625"/>
        <n v="22.015625"/>
        <n v="21.9375"/>
        <n v="21.59375"/>
        <n v="20.84375"/>
        <n v="21.4375"/>
        <n v="21.0625"/>
        <n v="21.421875"/>
        <n v="21.734375"/>
        <n v="22.359375"/>
        <n v="21.515625"/>
        <n v="21.625"/>
        <n v="21.390625"/>
        <n v="20.90625"/>
        <n v="21.5"/>
        <n v="21.578125"/>
        <n v="21.203125"/>
        <n v="20.9375"/>
        <n v="21.078125"/>
        <n v="21.5625"/>
        <n v="21.765625"/>
        <n v="21.328125"/>
        <n v="21.484375"/>
        <n v="22.765625"/>
        <n v="22.796875"/>
        <n v="23.671875"/>
        <n v="23.953125"/>
        <n v="25.1875"/>
        <n v="26.234375"/>
        <n v="25.390625"/>
        <n v="26.109375"/>
        <n v="26.859375"/>
        <n v="27.09375"/>
        <n v="27.34375"/>
        <n v="26.8125"/>
        <n v="26.953125"/>
        <n v="26.984375"/>
        <n v="27.46875"/>
        <n v="27.75"/>
        <n v="28.296875"/>
        <n v="29.390625"/>
        <n v="29.125"/>
        <n v="29.34375"/>
        <n v="29.484375"/>
        <n v="29.25"/>
        <n v="28.203125"/>
        <n v="29.1875"/>
        <n v="28.25"/>
        <n v="28.453125"/>
        <n v="28.0625"/>
        <n v="27.671875"/>
        <n v="28.359375"/>
        <n v="27.484375"/>
        <n v="27.109375"/>
        <n v="26.125"/>
        <n v="26.078125"/>
        <n v="26.71875"/>
        <n v="26.46875"/>
        <n v="25.859375"/>
        <n v="26.265625"/>
        <n v="25.984375"/>
        <n v="26.0625"/>
        <n v="26.828125"/>
        <n v="27.8125"/>
        <n v="27.640625"/>
        <n v="28.140625"/>
        <n v="27.65625"/>
        <n v="27.59375"/>
        <n v="27.3125"/>
        <n v="26.3125"/>
        <n v="23.984375"/>
        <n v="25.3125"/>
        <n v="25.140625"/>
        <n v="24.8125"/>
        <n v="24.15625"/>
        <n v="25.492187999999999"/>
        <n v="25.5625"/>
        <n v="26.5"/>
        <n v="27.078125"/>
        <n v="27.046875"/>
        <n v="26.34375"/>
        <n v="26.96875"/>
        <n v="27.296875"/>
        <n v="28.40625"/>
        <n v="27.53125"/>
        <n v="28.265625"/>
        <n v="27.828125"/>
        <n v="28.21875"/>
        <n v="27.515625"/>
        <n v="26.015625"/>
        <n v="26.03125"/>
        <n v="25.296875"/>
        <n v="24.40625"/>
        <n v="23.53125"/>
        <n v="24.21875"/>
        <n v="24.9375"/>
        <n v="24.109375"/>
        <n v="25.046875"/>
        <n v="26.359375"/>
        <n v="25.734375"/>
        <n v="25.0625"/>
        <n v="26.609375"/>
        <n v="27.5"/>
        <n v="26.59375"/>
        <n v="26.765625"/>
        <n v="26.421875"/>
        <n v="26.65625"/>
        <n v="26.453125"/>
        <n v="26.296875"/>
        <n v="26.375"/>
        <n v="27.328125"/>
        <n v="28.015625"/>
        <n v="27.765625"/>
        <n v="27.1875"/>
        <n v="27.203125"/>
        <n v="27.96875"/>
        <n v="27.4375"/>
        <n v="27.9375"/>
        <n v="29.796875"/>
        <n v="30.421875"/>
        <n v="31.0625"/>
        <n v="32.015625"/>
        <n v="30.5"/>
        <n v="32.375"/>
        <n v="31.6875"/>
        <n v="30.53125"/>
        <n v="31.84375"/>
        <n v="33.390625"/>
        <n v="32.796875"/>
        <n v="33.40625"/>
        <n v="32.890625"/>
        <n v="33.5"/>
        <n v="31.984375"/>
        <n v="32.96875"/>
        <n v="33.4375"/>
        <n v="33.59375"/>
        <n v="34.453125"/>
        <n v="35.109375"/>
        <n v="34.609375"/>
        <n v="35.890625"/>
        <n v="35.4375"/>
        <n v="35.59375"/>
        <n v="35.125"/>
        <n v="34.75"/>
        <n v="34.671875"/>
        <n v="35.25"/>
        <n v="36.625"/>
        <n v="37.8125"/>
        <n v="37.625"/>
        <n v="37.46875"/>
        <n v="36.875"/>
        <n v="35.546875"/>
        <n v="35.953125"/>
        <n v="37.4375"/>
        <n v="38.90625"/>
        <n v="40.65625"/>
        <n v="39.578125"/>
        <n v="39.0625"/>
        <n v="40.46875"/>
        <n v="42.890625"/>
        <n v="42.15625"/>
        <n v="43.5"/>
        <n v="43.75"/>
        <n v="43.234375"/>
        <n v="41.90625"/>
        <n v="41.703125"/>
        <n v="39.765625"/>
        <n v="40"/>
        <n v="41.3125"/>
        <n v="40.015625"/>
        <n v="40.15625"/>
        <n v="40.6875"/>
        <n v="39.4375"/>
        <n v="37.5"/>
        <n v="36.4375"/>
        <n v="36.9375"/>
        <n v="37.203125"/>
        <n v="38.859375"/>
        <n v="38.21875"/>
        <n v="38.375"/>
        <n v="37.53125"/>
        <n v="37.9375"/>
        <n v="37.140625"/>
        <n v="37.40625"/>
        <n v="38.0625"/>
        <n v="38.734375"/>
        <n v="39.75"/>
        <n v="40.453125"/>
        <n v="40.34375"/>
        <n v="40.359375"/>
        <n v="40.046875"/>
        <n v="41.46875"/>
        <n v="42.265625"/>
        <n v="41.78125"/>
        <n v="43.109375"/>
        <n v="42.796875"/>
        <n v="43.203125"/>
        <n v="41.640625"/>
        <n v="42.8125"/>
        <n v="44.984375"/>
        <n v="44.53125"/>
        <n v="46.1875"/>
        <n v="46.5"/>
        <n v="44.8125"/>
        <n v="46.34375"/>
        <n v="47.46875"/>
        <n v="47.03125"/>
        <n v="46.65625"/>
        <n v="47.28125"/>
        <n v="47.125"/>
        <n v="45.0625"/>
        <n v="42.9375"/>
        <n v="44.4375"/>
        <n v="43.3125"/>
        <n v="40.5"/>
        <n v="41.5625"/>
        <n v="41"/>
        <n v="42.46875"/>
        <n v="43"/>
        <n v="44"/>
        <n v="42"/>
        <n v="41.0625"/>
        <n v="41.03125"/>
        <n v="39.9375"/>
        <n v="39.03125"/>
        <n v="39.5625"/>
        <n v="38.96875"/>
        <n v="39.53125"/>
        <n v="39.84375"/>
        <n v="40.25"/>
        <n v="38.4375"/>
        <n v="39.34375"/>
        <n v="39.65625"/>
        <n v="39.21875"/>
        <n v="38.78125"/>
        <n v="38.625"/>
        <n v="38.125"/>
        <n v="39.25"/>
        <n v="39.1875"/>
        <n v="38.1875"/>
        <n v="39.78125"/>
        <n v="40.125"/>
        <n v="39.6875"/>
        <n v="41.15625"/>
        <n v="38.84375"/>
        <n v="41.4375"/>
        <n v="42.5"/>
        <n v="44.46875"/>
        <n v="43.25"/>
        <n v="42.3125"/>
        <n v="43.375"/>
        <n v="45.09375"/>
        <n v="45.59375"/>
        <n v="46"/>
        <n v="44.78125"/>
        <n v="46.15625"/>
        <n v="46.28125"/>
        <n v="46.625"/>
        <n v="47.09375"/>
        <n v="46.8125"/>
        <n v="47.1875"/>
        <n v="49.71875"/>
        <n v="49.1875"/>
        <n v="47.34375"/>
        <n v="45.53125"/>
        <n v="45.125"/>
        <n v="43.8125"/>
        <n v="44.40625"/>
        <n v="45"/>
        <n v="43.46875"/>
        <n v="42.90625"/>
        <n v="42.40625"/>
        <n v="42.375"/>
        <n v="42.875"/>
        <n v="42.5625"/>
        <n v="42.09375"/>
        <n v="40.875"/>
        <n v="42.34375"/>
        <n v="42.28125"/>
        <n v="41.6875"/>
        <n v="43.21875"/>
        <n v="46.09375"/>
        <n v="47.65625"/>
        <n v="47.3125"/>
        <n v="46.125"/>
        <n v="45.90625"/>
        <n v="47.9375"/>
        <n v="47.5"/>
        <n v="46.9375"/>
        <n v="47.53125"/>
        <n v="46.3125"/>
        <n v="47"/>
        <n v="48.21875"/>
        <n v="48.78125"/>
        <n v="48.03125"/>
        <n v="45.46875"/>
        <n v="45.71875"/>
        <n v="46.0625"/>
        <n v="44.75"/>
        <n v="45.28125"/>
        <n v="44.992187999999999"/>
        <n v="46.84375"/>
        <n v="46.875"/>
        <n v="47.15625"/>
        <n v="45.34375"/>
        <n v="44.03125"/>
        <n v="43.9375"/>
        <n v="43.15625"/>
        <n v="46.53125"/>
        <n v="46.21875"/>
        <n v="45.4375"/>
        <n v="44.9375"/>
        <n v="45.875"/>
        <n v="45.78125"/>
        <n v="44.96875"/>
        <n v="43.5625"/>
        <n v="44.59375"/>
        <n v="43.65625"/>
        <n v="44.90625"/>
        <n v="45.84375"/>
        <n v="45.5625"/>
        <n v="45.523437999999999"/>
        <n v="46.59375"/>
        <n v="47.40625"/>
        <n v="48.0625"/>
        <n v="47.71875"/>
        <n v="46.375"/>
        <n v="48.3125"/>
        <n v="49.34375"/>
        <n v="54.21875"/>
        <n v="56.84375"/>
        <n v="57.625"/>
        <n v="56.375"/>
        <n v="57.9375"/>
        <n v="58.78125"/>
        <n v="58.71875"/>
        <n v="59.5625"/>
        <n v="58.75"/>
        <n v="58.96875"/>
        <n v="58.8125"/>
        <n v="58.375"/>
        <n v="58.28125"/>
        <n v="56.3125"/>
        <n v="56.90625"/>
        <n v="55"/>
        <n v="55.71875"/>
        <n v="56.125"/>
        <n v="54.6875"/>
        <n v="52.90625"/>
        <n v="53.90625"/>
        <n v="57.65625"/>
        <n v="53.5"/>
        <n v="53"/>
        <n v="51.875"/>
        <n v="50.625"/>
        <n v="51.40625"/>
        <n v="49.6875"/>
        <n v="49.375"/>
        <n v="49.125"/>
        <n v="48.9375"/>
        <n v="51.46875"/>
        <n v="50.40625"/>
        <n v="51.8125"/>
        <n v="53.28125"/>
        <n v="53.3125"/>
        <n v="54.96875"/>
        <n v="52"/>
        <n v="49.96875"/>
        <n v="49.8125"/>
        <n v="49.28125"/>
        <n v="48.8125"/>
        <n v="46.90625"/>
        <n v="47.375"/>
        <n v="45.65625"/>
        <n v="44.6875"/>
        <n v="45.40625"/>
        <n v="46.6875"/>
        <n v="45.3125"/>
        <n v="46.4375"/>
        <n v="47.78125"/>
        <n v="50"/>
        <n v="50.5"/>
        <n v="49"/>
        <n v="47.5625"/>
        <n v="47.6875"/>
        <n v="48.6875"/>
        <n v="51.375"/>
        <n v="51.625"/>
        <n v="55.9375"/>
        <n v="55.84375"/>
        <n v="52.03125"/>
        <n v="52.15625"/>
        <n v="53.59375"/>
        <n v="51.6875"/>
        <n v="53.125"/>
        <n v="44.28125"/>
        <n v="43.1875"/>
        <n v="43.03125"/>
        <n v="41.9375"/>
        <n v="39.625"/>
        <n v="37.0625"/>
        <n v="40.28125"/>
        <n v="39.46875"/>
        <n v="33.3125"/>
        <n v="34.6875"/>
        <n v="34"/>
        <n v="34.90625"/>
        <n v="34.875"/>
        <n v="36.71875"/>
        <n v="34.9375"/>
        <n v="35.28125"/>
        <n v="35.21875"/>
        <n v="35.5625"/>
        <n v="33.90625"/>
        <n v="33.09375"/>
        <n v="33.9375"/>
        <n v="34.40625"/>
        <n v="33.84375"/>
        <n v="32.53125"/>
        <n v="32.09375"/>
        <n v="31.59375"/>
        <n v="32.78125"/>
        <n v="30.75"/>
        <n v="30.71875"/>
        <n v="31.28125"/>
        <n v="32.28125"/>
        <n v="33.15625"/>
        <n v="34.8125"/>
        <n v="36.1875"/>
        <n v="36.28125"/>
        <n v="36.84375"/>
        <n v="39.40625"/>
        <n v="38.59375"/>
        <n v="39.71875"/>
        <n v="39.96875"/>
        <n v="39.09375"/>
        <n v="36.5625"/>
        <n v="36.15625"/>
        <n v="34.5"/>
        <n v="34.84375"/>
        <n v="34.34375"/>
        <n v="34.5625"/>
        <n v="35"/>
        <n v="37.125"/>
        <n v="36.3125"/>
        <n v="36.21875"/>
        <n v="36.09375"/>
        <n v="35.8125"/>
        <n v="35.5"/>
        <n v="35.78125"/>
        <n v="35.3125"/>
        <n v="35.625"/>
        <n v="35.375"/>
        <n v="35.65625"/>
        <n v="35.46875"/>
        <n v="35.09375"/>
        <n v="35.0625"/>
        <n v="34.71875"/>
        <n v="35.03125"/>
        <n v="34.65625"/>
        <n v="34.0625"/>
        <n v="34.125"/>
        <n v="32.90625"/>
        <n v="31.5"/>
        <n v="32.5"/>
        <n v="32.125"/>
        <n v="31.625"/>
        <n v="30.625"/>
        <n v="31.34375"/>
        <n v="30.3125"/>
        <n v="30.65625"/>
        <n v="30.15625"/>
        <n v="29.5625"/>
        <n v="28.28125"/>
        <n v="27.71875"/>
        <n v="27.6875"/>
        <n v="27.78125"/>
        <n v="27.28125"/>
        <n v="27.875"/>
        <n v="26.875"/>
        <n v="25.21875"/>
        <n v="25.875"/>
        <n v="30.9375"/>
        <n v="32.59375"/>
        <n v="32.21875"/>
        <n v="34.53125"/>
        <n v="34.4375"/>
        <n v="35.15625"/>
        <n v="33.6875"/>
        <n v="33.21875"/>
        <n v="34.46875"/>
        <n v="33.875"/>
        <n v="34.96875"/>
        <n v="35.34375"/>
        <n v="28.6875"/>
        <n v="28.3125"/>
        <n v="29.9375"/>
        <n v="28.34375"/>
        <n v="26.5625"/>
        <n v="27.21875"/>
        <n v="29.03125"/>
        <n v="28.625"/>
        <n v="24.59375"/>
        <n v="23.90625"/>
        <n v="20.75"/>
        <n v="21.71875"/>
        <n v="23.21875"/>
        <n v="23.4375"/>
        <n v="22.28125"/>
        <n v="21.6875"/>
        <n v="23.96875"/>
        <n v="24.5625"/>
        <n v="24.46875"/>
        <n v="25.90625"/>
        <n v="26.4375"/>
        <n v="26.75"/>
        <n v="26.28125"/>
        <n v="30.0625"/>
        <n v="30.28125"/>
        <n v="31.46875"/>
        <n v="30.90625"/>
        <n v="32"/>
        <n v="32.25"/>
        <n v="31.1875"/>
        <n v="30.40625"/>
        <n v="30.96875"/>
        <n v="32.34375"/>
        <n v="31.125"/>
        <n v="29.375"/>
        <n v="29.09375"/>
        <n v="29.40625"/>
        <n v="28.65625"/>
        <n v="28.125"/>
        <n v="28.375"/>
        <n v="29.78125"/>
        <n v="29.6875"/>
        <n v="29.5"/>
        <n v="29.679687999999999"/>
        <n v="28.71875"/>
        <n v="29.71875"/>
        <n v="30.34375"/>
        <n v="29.625"/>
        <n v="25.96875"/>
        <n v="27"/>
        <n v="26.84375"/>
        <n v="27.15625"/>
        <n v="25.03125"/>
        <n v="28.03125"/>
        <n v="27.90625"/>
        <n v="26.6875"/>
        <n v="28.09375"/>
        <n v="28.575001"/>
        <n v="29.84"/>
        <n v="30.02"/>
        <n v="31.09"/>
        <n v="30.395"/>
        <n v="30.74"/>
        <n v="32.715000000000003"/>
        <n v="34.020000000000003"/>
        <n v="33.775002000000001"/>
        <n v="34.845001000000003"/>
        <n v="34.564999"/>
        <n v="33.560001"/>
        <n v="35.084999000000003"/>
        <n v="34.880001"/>
        <n v="34.264999000000003"/>
        <n v="35.689999"/>
        <n v="36.029998999999997"/>
        <n v="35.200001"/>
        <n v="34.700001"/>
        <n v="34.360000999999997"/>
        <n v="34.134998000000003"/>
        <n v="34.580002"/>
        <n v="34.084999000000003"/>
        <n v="34.044998"/>
        <n v="34.395000000000003"/>
        <n v="35.154998999999997"/>
        <n v="34.849997999999999"/>
        <n v="35.860000999999997"/>
        <n v="35.455002"/>
        <n v="35.169998"/>
        <n v="34.595001000000003"/>
        <n v="34.590000000000003"/>
        <n v="35.389999000000003"/>
        <n v="36.299999"/>
        <n v="36.18"/>
        <n v="36.840000000000003"/>
        <n v="36.595001000000003"/>
        <n v="36.060001"/>
        <n v="36.040000999999997"/>
        <n v="35.345001000000003"/>
        <n v="34.450001"/>
        <n v="34.009998000000003"/>
        <n v="33.439999"/>
        <n v="33.659999999999997"/>
        <n v="34.705002"/>
        <n v="34.919998"/>
        <n v="34.415000999999997"/>
        <n v="34.424999"/>
        <n v="35.07"/>
        <n v="35.57"/>
        <n v="36.369999"/>
        <n v="36.5"/>
        <n v="35.299999"/>
        <n v="35.235000999999997"/>
        <n v="34.255001"/>
        <n v="33.029998999999997"/>
        <n v="32.845001000000003"/>
        <n v="32.240001999999997"/>
        <n v="33.25"/>
        <n v="35.799999"/>
        <n v="35.669998"/>
        <n v="35.590000000000003"/>
        <n v="35.909999999999997"/>
        <n v="35.284999999999997"/>
        <n v="36.284999999999997"/>
        <n v="33.544998"/>
        <n v="33.159999999999997"/>
        <n v="33.740001999999997"/>
        <n v="33.294998"/>
        <n v="32.735000999999997"/>
        <n v="32.900002000000001"/>
        <n v="33.095001000000003"/>
        <n v="33.235000999999997"/>
        <n v="33.724997999999999"/>
        <n v="33.445"/>
        <n v="33.064999"/>
        <n v="33.174999"/>
        <n v="32.43"/>
        <n v="32.505001"/>
        <n v="32.759998000000003"/>
        <n v="32.915000999999997"/>
        <n v="32.345001000000003"/>
        <n v="31.6"/>
        <n v="32.310001"/>
        <n v="30.940000999999999"/>
        <n v="31.35"/>
        <n v="30.389999"/>
        <n v="30.33"/>
        <n v="29.559999000000001"/>
        <n v="31.024999999999999"/>
        <n v="31.155000999999999"/>
        <n v="30.370000999999998"/>
        <n v="30.125"/>
        <n v="28.469999000000001"/>
        <n v="28.524999999999999"/>
        <n v="28.049999"/>
        <n v="28.870000999999998"/>
        <n v="28.01"/>
        <n v="27.700001"/>
        <n v="28.790001"/>
        <n v="26.454999999999998"/>
        <n v="27.16"/>
        <n v="26.934999000000001"/>
        <n v="25.379999000000002"/>
        <n v="24.855"/>
        <n v="26.004999000000002"/>
        <n v="25.65"/>
        <n v="25.135000000000002"/>
        <n v="24.98"/>
        <n v="25.584999"/>
        <n v="25.895"/>
        <n v="26.524999999999999"/>
        <n v="28.114999999999998"/>
        <n v="28.219999000000001"/>
        <n v="28.860001"/>
        <n v="29.02"/>
        <n v="27.280000999999999"/>
        <n v="27.754999000000002"/>
        <n v="28.16"/>
        <n v="28.190000999999999"/>
        <n v="29.030000999999999"/>
        <n v="29.225000000000001"/>
        <n v="28.014999"/>
        <n v="28.950001"/>
        <n v="30.08"/>
        <n v="30.215"/>
        <n v="30.66"/>
        <n v="31.280000999999999"/>
        <n v="31.1"/>
        <n v="29.82"/>
        <n v="29.440000999999999"/>
        <n v="29.075001"/>
        <n v="30.92"/>
        <n v="30.700001"/>
        <n v="31.635000000000002"/>
        <n v="32.389999000000003"/>
        <n v="32.209999000000003"/>
        <n v="32.604999999999997"/>
        <n v="32.895000000000003"/>
        <n v="33.950001"/>
        <n v="32.974997999999999"/>
        <n v="33.060001"/>
        <n v="32.875"/>
        <n v="33.270000000000003"/>
        <n v="32.700001"/>
        <n v="32.025002000000001"/>
        <n v="32.354999999999997"/>
        <n v="32.57"/>
        <n v="31.870000999999998"/>
        <n v="31.4"/>
        <n v="32.419998"/>
        <n v="32.104999999999997"/>
        <n v="32.384998000000003"/>
        <n v="33"/>
        <n v="34.049999"/>
        <n v="34.325001"/>
        <n v="33.915000999999997"/>
        <n v="33.529998999999997"/>
        <n v="33.974997999999999"/>
        <n v="33.134998000000003"/>
        <n v="33.720001000000003"/>
        <n v="34.490001999999997"/>
        <n v="34.634998000000003"/>
        <n v="34.744999"/>
        <n v="33.380001"/>
        <n v="33.770000000000003"/>
        <n v="33.634998000000003"/>
        <n v="33.840000000000003"/>
        <n v="33.924999"/>
        <n v="33.935001"/>
        <n v="33.125"/>
        <n v="33.520000000000003"/>
        <n v="34.615001999999997"/>
        <n v="34.279998999999997"/>
        <n v="34.689999"/>
        <n v="34.354999999999997"/>
        <n v="34.639999000000003"/>
        <n v="34.305"/>
        <n v="34.235000999999997"/>
        <n v="34.775002000000001"/>
        <n v="34.93"/>
        <n v="33.049999"/>
        <n v="32.229999999999997"/>
        <n v="32.299999"/>
        <n v="31.9"/>
        <n v="31.91"/>
        <n v="31.16"/>
        <n v="31.424999"/>
        <n v="31.855"/>
        <n v="31.33"/>
        <n v="30.559999000000001"/>
        <n v="30.575001"/>
        <n v="30.200001"/>
        <n v="29.9"/>
        <n v="30.325001"/>
        <n v="30.565000999999999"/>
        <n v="30.07"/>
        <n v="30.91"/>
        <n v="30.84"/>
        <n v="30.114999999999998"/>
        <n v="29.465"/>
        <n v="29.950001"/>
        <n v="29.024999999999999"/>
        <n v="28.995000999999998"/>
        <n v="29.540001"/>
        <n v="29.274999999999999"/>
        <n v="29.195"/>
        <n v="29.17"/>
        <n v="30.684999000000001"/>
        <n v="31.65"/>
        <n v="31.540001"/>
        <n v="31.815000999999999"/>
        <n v="31.360001"/>
        <n v="31.975000000000001"/>
        <n v="32.169998"/>
        <n v="31.27"/>
        <n v="31.049999"/>
        <n v="30.610001"/>
        <n v="31.245000999999998"/>
        <n v="31.07"/>
        <n v="31.114999999999998"/>
        <n v="30.049999"/>
        <n v="30.68"/>
        <n v="30.225000000000001"/>
        <n v="29.614999999999998"/>
        <n v="29.719999000000001"/>
        <n v="30.155000999999999"/>
        <n v="30.190000999999999"/>
        <n v="28.639999"/>
        <n v="28.165001"/>
        <n v="28.225000000000001"/>
        <n v="27.934999000000001"/>
        <n v="28.610001"/>
        <n v="27.434999000000001"/>
        <n v="28.15"/>
        <n v="27.395"/>
        <n v="27.965"/>
        <n v="27.844999000000001"/>
        <n v="28.905000999999999"/>
        <n v="28.315000999999999"/>
        <n v="28.184999000000001"/>
        <n v="28.6"/>
        <n v="27.795000000000002"/>
        <n v="26.995000999999998"/>
        <n v="26.51"/>
        <n v="26.864999999999998"/>
        <n v="25.75"/>
        <n v="26.120000999999998"/>
        <n v="26.129999000000002"/>
        <n v="25.605"/>
        <n v="24.780000999999999"/>
        <n v="24.309999000000001"/>
        <n v="24.735001"/>
        <n v="27.485001"/>
        <n v="26.059999000000001"/>
        <n v="25.024999999999999"/>
        <n v="26.344999000000001"/>
        <n v="27.440000999999999"/>
        <n v="27.375"/>
        <n v="27.870000999999998"/>
        <n v="27.004999000000002"/>
        <n v="26.094999000000001"/>
        <n v="26.844999000000001"/>
        <n v="27.41"/>
        <n v="26.629999000000002"/>
        <n v="26.16"/>
        <n v="26.024999999999999"/>
        <n v="26.32"/>
        <n v="25.454999999999998"/>
        <n v="24.709999"/>
        <n v="24.99"/>
        <n v="25.83"/>
        <n v="25.950001"/>
        <n v="25.99"/>
        <n v="26.41"/>
        <n v="26.285"/>
        <n v="27.77"/>
        <n v="27.110001"/>
        <n v="27.625"/>
        <n v="27.84"/>
        <n v="27.995000999999998"/>
        <n v="27.18"/>
        <n v="27.049999"/>
        <n v="26.139999"/>
        <n v="27.08"/>
        <n v="26.475000000000001"/>
        <n v="27.065000999999999"/>
        <n v="27.459999"/>
        <n v="27.35"/>
        <n v="26.33"/>
        <n v="25.719999000000001"/>
        <n v="25.92"/>
        <n v="27.424999"/>
        <n v="26.459999"/>
        <n v="26.605"/>
        <n v="25.93"/>
        <n v="25.9"/>
        <n v="25.625"/>
        <n v="26"/>
        <n v="25.555"/>
        <n v="23.754999000000002"/>
        <n v="21.504999000000002"/>
        <n v="23.114999999999998"/>
        <n v="21.415001"/>
        <n v="22.674999"/>
        <n v="24.125"/>
        <n v="24.049999"/>
        <n v="23.99"/>
        <n v="22.875"/>
        <n v="22.204999999999998"/>
        <n v="21.995000999999998"/>
        <n v="22.834999"/>
        <n v="23.545000000000002"/>
        <n v="24.454999999999998"/>
        <n v="24.059999000000001"/>
        <n v="24.235001"/>
        <n v="23.530000999999999"/>
        <n v="24.885000000000002"/>
        <n v="25"/>
        <n v="25.52"/>
        <n v="26.614999999999998"/>
        <n v="26.110001"/>
        <n v="26.049999"/>
        <n v="25.42"/>
        <n v="24.690000999999999"/>
        <n v="25.290001"/>
        <n v="24.540001"/>
        <n v="23.51"/>
        <n v="24.105"/>
        <n v="22.954999999999998"/>
        <n v="23.91"/>
        <n v="24.35"/>
        <n v="24.895"/>
        <n v="24.290001"/>
        <n v="23.575001"/>
        <n v="23.954999999999998"/>
        <n v="23.889999"/>
        <n v="23.645"/>
        <n v="23.875"/>
        <n v="23.6"/>
        <n v="23.73"/>
        <n v="22.614999999999998"/>
        <n v="22.82"/>
        <n v="23.254999000000002"/>
        <n v="23.1"/>
        <n v="21.870000999999998"/>
        <n v="22.805"/>
        <n v="22.4"/>
        <n v="21.885000000000002"/>
        <n v="22.024999999999999"/>
        <n v="22.495000999999998"/>
        <n v="23.190000999999999"/>
        <n v="24.434999000000001"/>
        <n v="24.645"/>
        <n v="26.145"/>
        <n v="25.204999999999998"/>
        <n v="25.385000000000002"/>
        <n v="26.575001"/>
        <n v="26.254999000000002"/>
        <n v="25.834999"/>
        <n v="26.6"/>
        <n v="25.614999999999998"/>
        <n v="26.34"/>
        <n v="25.975000000000001"/>
        <n v="26.035"/>
        <n v="26.555"/>
        <n v="26.735001"/>
        <n v="28.34"/>
        <n v="28.514999"/>
        <n v="28.004999000000002"/>
        <n v="27.549999"/>
        <n v="26.93"/>
        <n v="27.254999000000002"/>
        <n v="27.68"/>
        <n v="28.495000999999998"/>
        <n v="28.344999000000001"/>
        <n v="27.924999"/>
        <n v="27.43"/>
        <n v="28.309999000000001"/>
        <n v="28.92"/>
        <n v="29.110001"/>
        <n v="29.114999999999998"/>
        <n v="28.450001"/>
        <n v="29.040001"/>
        <n v="28.84"/>
        <n v="28.844999000000001"/>
        <n v="28.355"/>
        <n v="28.27"/>
        <n v="27.67"/>
        <n v="27.735001"/>
        <n v="26.764999"/>
        <n v="27.33"/>
        <n v="27.084999"/>
        <n v="26.25"/>
        <n v="27.24"/>
        <n v="26.52"/>
        <n v="26.91"/>
        <n v="26.695"/>
        <n v="26.485001"/>
        <n v="25.85"/>
        <n v="26.860001"/>
        <n v="26.895"/>
        <n v="27.385000000000002"/>
        <n v="27.9"/>
        <n v="27.120000999999998"/>
        <n v="27.905000999999999"/>
        <n v="27.959999"/>
        <n v="28.195"/>
        <n v="28.485001"/>
        <n v="28.135000000000002"/>
        <n v="27.674999"/>
        <n v="25.73"/>
        <n v="25.665001"/>
        <n v="25.5"/>
        <n v="24.924999"/>
        <n v="24.584999"/>
        <n v="24.41"/>
        <n v="24.954999999999998"/>
        <n v="24.120000999999998"/>
        <n v="24.280000999999999"/>
        <n v="23.66"/>
        <n v="23.48"/>
        <n v="23.709999"/>
        <n v="23.290001"/>
        <n v="23.690000999999999"/>
        <n v="23.219999000000001"/>
        <n v="23.495000999999998"/>
        <n v="24.15"/>
        <n v="24.959999"/>
        <n v="24.530000999999999"/>
        <n v="24.139999"/>
        <n v="24.629999000000002"/>
        <n v="24.07"/>
        <n v="24.190000999999999"/>
        <n v="23.610001"/>
        <n v="23.58"/>
        <n v="23.700001"/>
        <n v="23.540001"/>
        <n v="23.07"/>
        <n v="23.440000999999999"/>
        <n v="23.27"/>
        <n v="23.559999000000001"/>
        <n v="22.950001"/>
        <n v="22.799999"/>
        <n v="23.389999"/>
        <n v="24.67"/>
        <n v="24.860001"/>
        <n v="26.040001"/>
        <n v="26.57"/>
        <n v="25.49"/>
        <n v="25.25"/>
        <n v="25.040001"/>
        <n v="24.209999"/>
        <n v="25.09"/>
        <n v="25.17"/>
        <n v="25.58"/>
        <n v="24.57"/>
        <n v="24.59"/>
        <n v="24.200001"/>
        <n v="24.76"/>
        <n v="24.6"/>
        <n v="24.92"/>
        <n v="25.209999"/>
        <n v="25.76"/>
        <n v="25.219999000000001"/>
        <n v="25.74"/>
        <n v="25.799999"/>
        <n v="25.57"/>
        <n v="26.1"/>
        <n v="25.860001"/>
        <n v="26.370000999999998"/>
        <n v="26.360001"/>
        <n v="26.200001"/>
        <n v="25.620000999999998"/>
        <n v="25.790001"/>
        <n v="24.030000999999999"/>
        <n v="24.16"/>
        <n v="24.219999000000001"/>
        <n v="24.790001"/>
        <n v="24.4"/>
        <n v="24.610001"/>
        <n v="24.639999"/>
        <n v="24.879999000000002"/>
        <n v="24.870000999999998"/>
        <n v="24.09"/>
        <n v="23.67"/>
        <n v="23.75"/>
        <n v="24.68"/>
        <n v="24.65"/>
        <n v="25.389999"/>
        <n v="25.959999"/>
        <n v="26.07"/>
        <n v="25.780000999999999"/>
        <n v="25.700001"/>
        <n v="25.26"/>
        <n v="25.629999000000002"/>
        <n v="25.639999"/>
        <n v="26.15"/>
        <n v="26.879999000000002"/>
        <n v="27.42"/>
        <n v="27.469999000000001"/>
        <n v="27.309999000000001"/>
        <n v="27.4"/>
        <n v="27.27"/>
        <n v="27.52"/>
        <n v="26.690000999999999"/>
        <n v="26.889999"/>
        <n v="26.379999000000002"/>
        <n v="26.450001"/>
        <n v="26.610001"/>
        <n v="26.469999000000001"/>
        <n v="26.23"/>
        <n v="26.17"/>
        <n v="26.18"/>
        <n v="25.66"/>
        <n v="25.709999"/>
        <n v="25.610001"/>
        <n v="25.6"/>
        <n v="25.540001"/>
        <n v="26.620000999999998"/>
        <n v="26.24"/>
        <n v="26.219999000000001"/>
        <n v="26.42"/>
        <n v="27.26"/>
        <n v="28.299999"/>
        <n v="28.43"/>
        <n v="28.379999000000002"/>
        <n v="28.370000999999998"/>
        <n v="28.360001"/>
        <n v="28.9"/>
        <n v="28.5"/>
        <n v="29.959999"/>
        <n v="29.07"/>
        <n v="29.6"/>
        <n v="28.459999"/>
        <n v="28.24"/>
        <n v="28.83"/>
        <n v="27.799999"/>
        <n v="28.52"/>
        <n v="29.08"/>
        <n v="29.190000999999999"/>
        <n v="29.139999"/>
        <n v="28.82"/>
        <n v="28.940000999999999"/>
        <n v="28.91"/>
        <n v="28.780000999999999"/>
        <n v="28.68"/>
        <n v="29.23"/>
        <n v="28.93"/>
        <n v="29.35"/>
        <n v="28.889999"/>
        <n v="27.200001"/>
        <n v="26.74"/>
        <n v="26.68"/>
        <n v="25.98"/>
        <n v="25.690000999999999"/>
        <n v="25.15"/>
        <n v="25.35"/>
        <n v="25.1"/>
        <n v="25.110001"/>
        <n v="25.4"/>
        <n v="25.450001"/>
        <n v="25.84"/>
        <n v="25.67"/>
        <n v="26.59"/>
        <n v="26.65"/>
        <n v="27.059999000000001"/>
        <n v="27.040001"/>
        <n v="27.360001"/>
        <n v="27.15"/>
        <n v="27.209999"/>
        <n v="27.370000999999998"/>
        <n v="27.450001"/>
        <n v="28.139999"/>
        <n v="28.209999"/>
        <n v="27.66"/>
        <n v="27.57"/>
        <n v="27.540001"/>
        <n v="27.809999000000001"/>
        <n v="28.1"/>
        <n v="28.48"/>
        <n v="28.799999"/>
        <n v="27.709999"/>
        <n v="27.91"/>
        <n v="27.65"/>
        <n v="27.290001"/>
        <n v="27.01"/>
        <n v="26.959999"/>
        <n v="26.9"/>
        <n v="27.02"/>
        <n v="26.950001"/>
        <n v="26.99"/>
        <n v="26.77"/>
        <n v="26.700001"/>
        <n v="26.530000999999999"/>
        <n v="26.389999"/>
        <n v="26.35"/>
        <n v="25.370000999999998"/>
        <n v="25.16"/>
        <n v="25.18"/>
        <n v="25.129999000000002"/>
        <n v="24.889999"/>
        <n v="24.5"/>
        <n v="25.190000999999999"/>
        <n v="25.030000999999999"/>
        <n v="25.309999000000001"/>
        <n v="25.200001"/>
        <n v="24.93"/>
        <n v="25.08"/>
        <n v="25.59"/>
        <n v="25.48"/>
        <n v="25.51"/>
        <n v="25.530000999999999"/>
        <n v="25.33"/>
        <n v="27.219999000000001"/>
        <n v="26.559999000000001"/>
        <n v="26.48"/>
        <n v="26.299999"/>
        <n v="25.940000999999999"/>
        <n v="25.889999"/>
        <n v="26.190000999999999"/>
        <n v="26.43"/>
        <n v="27.32"/>
        <n v="28.35"/>
        <n v="28.290001"/>
        <n v="28.389999"/>
        <n v="28.57"/>
        <n v="28.280000999999999"/>
        <n v="28.559999000000001"/>
        <n v="28.629999000000002"/>
        <n v="28.02"/>
        <n v="27.639999"/>
        <n v="27.860001"/>
        <n v="27.889999"/>
        <n v="27.6"/>
        <n v="28.129999000000002"/>
        <n v="27.48"/>
        <n v="27.950001"/>
        <n v="28.32"/>
        <n v="29"/>
        <n v="28.030000999999999"/>
        <n v="28.66"/>
        <n v="28.440000999999999"/>
        <n v="28.58"/>
        <n v="28.49"/>
        <n v="28.07"/>
        <n v="28.059999000000001"/>
        <n v="27.530000999999999"/>
        <n v="27.139999"/>
        <n v="27.719999000000001"/>
        <n v="27.09"/>
        <n v="27.299999"/>
        <n v="27.389999"/>
        <n v="27.620000999999998"/>
        <n v="27.49"/>
        <n v="27.25"/>
        <n v="27.190000999999999"/>
        <n v="27.51"/>
        <n v="27.58"/>
        <n v="28.120000999999998"/>
        <n v="28.530000999999999"/>
        <n v="28.17"/>
        <n v="27.99"/>
        <n v="28.41"/>
        <n v="28.18"/>
        <n v="28.700001"/>
        <n v="27.74"/>
        <n v="27.629999000000002"/>
        <n v="27.969999000000001"/>
        <n v="28.08"/>
        <n v="29.309999000000001"/>
        <n v="29.280000999999999"/>
        <n v="29.77"/>
        <n v="29.73"/>
        <n v="29.98"/>
        <n v="29.969999000000001"/>
        <n v="27.17"/>
        <n v="27.07"/>
        <n v="26.639999"/>
        <n v="26.809999000000001"/>
        <n v="27.23"/>
        <n v="26.969999000000001"/>
        <n v="26.85"/>
        <n v="26.76"/>
        <n v="26.719999000000001"/>
        <n v="26.84"/>
        <n v="26.780000999999999"/>
        <n v="26.67"/>
        <n v="26.799999"/>
        <n v="26.73"/>
        <n v="26.27"/>
        <n v="26.02"/>
        <n v="26.01"/>
        <n v="26.280000999999999"/>
        <n v="25.969999000000001"/>
        <n v="25.23"/>
        <n v="25.280000999999999"/>
        <n v="25.469999000000001"/>
        <n v="25.43"/>
        <n v="24.91"/>
        <n v="24.18"/>
        <n v="23.92"/>
        <n v="24.17"/>
        <n v="24.23"/>
        <n v="24.469999000000001"/>
        <n v="24.940000999999999"/>
        <n v="24.969999000000001"/>
        <n v="25.32"/>
        <n v="24.84"/>
        <n v="24.459999"/>
        <n v="24.32"/>
        <n v="24.450001"/>
        <n v="25.299999"/>
        <n v="25.360001"/>
        <n v="24.9"/>
        <n v="25.459999"/>
        <n v="25.809999000000001"/>
        <n v="25.07"/>
        <n v="25.049999"/>
        <n v="24.700001"/>
        <n v="25.549999"/>
        <n v="26.440000999999999"/>
        <n v="25.68"/>
        <n v="27.76"/>
        <n v="27.129999000000002"/>
        <n v="26.82"/>
        <n v="26.870000999999998"/>
        <n v="27.030000999999999"/>
        <n v="27.379999000000002"/>
        <n v="26.58"/>
        <n v="26.309999000000001"/>
        <n v="25.34"/>
        <n v="25.27"/>
        <n v="24.73"/>
        <n v="24.299999"/>
        <n v="24.85"/>
        <n v="26.66"/>
        <n v="27.92"/>
        <n v="27.85"/>
        <n v="27.690000999999999"/>
        <n v="26.92"/>
        <n v="26.83"/>
        <n v="26.4"/>
        <n v="27.790001"/>
        <n v="28"/>
        <n v="28.040001"/>
        <n v="26.940000999999999"/>
        <n v="26.540001"/>
        <n v="27.559999000000001"/>
        <n v="27.1"/>
        <n v="24.01"/>
        <n v="23.17"/>
        <n v="23.799999"/>
        <n v="23.620000999999998"/>
        <n v="23.77"/>
        <n v="23.15"/>
        <n v="23.01"/>
        <n v="22.73"/>
        <n v="22.83"/>
        <n v="22.559999000000001"/>
        <n v="22.879999000000002"/>
        <n v="22.790001"/>
        <n v="23.5"/>
        <n v="23.74"/>
        <n v="23.719999000000001"/>
        <n v="22.65"/>
        <n v="22.76"/>
        <n v="22.5"/>
        <n v="22.129999000000002"/>
        <n v="22.040001"/>
        <n v="22.110001"/>
        <n v="21.92"/>
        <n v="21.709999"/>
        <n v="21.51"/>
        <n v="21.879999000000002"/>
        <n v="22.07"/>
        <n v="22.1"/>
        <n v="22.549999"/>
        <n v="23.08"/>
        <n v="22.860001"/>
        <n v="23.16"/>
        <n v="23.469999000000001"/>
        <n v="23.299999"/>
        <n v="23.35"/>
        <n v="22.639999"/>
        <n v="22.26"/>
        <n v="22.290001"/>
        <n v="22.48"/>
        <n v="22.74"/>
        <n v="23.4"/>
        <n v="22.85"/>
        <n v="23.870000999999998"/>
        <n v="24"/>
        <n v="24.370000999999998"/>
        <n v="24.25"/>
        <n v="24.34"/>
        <n v="24.440000999999999"/>
        <n v="24.43"/>
        <n v="24.620000999999998"/>
        <n v="25.91"/>
        <n v="26.790001"/>
        <n v="27.940000999999999"/>
        <n v="28.709999"/>
        <n v="28.809999000000001"/>
        <n v="28.77"/>
        <n v="28.73"/>
        <n v="28.98"/>
        <n v="29.26"/>
        <n v="29.24"/>
        <n v="29.120000999999998"/>
        <n v="29.469999000000001"/>
        <n v="29.4"/>
        <n v="29.889999"/>
        <n v="29.92"/>
        <n v="29.76"/>
        <n v="29.48"/>
        <n v="29.389999"/>
        <n v="29.57"/>
        <n v="29.360001"/>
        <n v="29.33"/>
        <n v="29.129999000000002"/>
        <n v="28.99"/>
        <n v="28.85"/>
        <n v="29.43"/>
        <n v="29.549999"/>
        <n v="29.99"/>
        <n v="30.09"/>
        <n v="29.639999"/>
        <n v="29.860001"/>
        <n v="29.809999000000001"/>
        <n v="29.93"/>
        <n v="29.66"/>
        <n v="31.209999"/>
        <n v="31"/>
        <n v="31.110001"/>
        <n v="30.719999000000001"/>
        <n v="30.450001"/>
        <n v="30.6"/>
        <n v="30.530000999999999"/>
        <n v="30.48"/>
        <n v="30.860001"/>
        <n v="29.610001"/>
        <n v="29.51"/>
        <n v="29.370000999999998"/>
        <n v="29.01"/>
        <n v="29.459999"/>
        <n v="28.74"/>
        <n v="28.09"/>
        <n v="27.83"/>
        <n v="27.610001"/>
        <n v="28.549999"/>
        <n v="28.4"/>
        <n v="28.110001"/>
        <n v="28.540001"/>
        <n v="28.690000999999999"/>
        <n v="29.1"/>
        <n v="30.120000999999998"/>
        <n v="29.940000999999999"/>
        <n v="30.4"/>
        <n v="30.969999000000001"/>
        <n v="30.709999"/>
        <n v="30.780000999999999"/>
        <n v="30.58"/>
        <n v="30.889999"/>
        <n v="30.9"/>
        <n v="30.98"/>
        <n v="30.83"/>
        <n v="30.690000999999999"/>
        <n v="30.17"/>
        <n v="30.790001"/>
        <n v="30.59"/>
        <n v="30.290001"/>
        <n v="29.620000999999998"/>
        <n v="29.85"/>
        <n v="30.52"/>
        <n v="30.49"/>
        <n v="30.51"/>
        <n v="30.459999"/>
        <n v="30.01"/>
        <n v="30.219999000000001"/>
        <n v="29.49"/>
        <n v="29.52"/>
        <n v="29.870000999999998"/>
        <n v="29.83"/>
        <n v="29.74"/>
        <n v="30.030000999999999"/>
        <n v="31.51"/>
        <n v="31.190000999999999"/>
        <n v="30.799999"/>
        <n v="29.299999"/>
        <n v="28.959999"/>
        <n v="30"/>
        <n v="28.26"/>
        <n v="27.93"/>
        <n v="28.59"/>
        <n v="29.16"/>
        <n v="28.67"/>
        <n v="28.42"/>
        <n v="28.65"/>
        <n v="29.700001"/>
        <n v="29.450001"/>
        <n v="29.709999"/>
        <n v="30.1"/>
        <n v="30.23"/>
        <n v="29.91"/>
        <n v="30.040001"/>
        <n v="30.32"/>
        <n v="31.08"/>
        <n v="31.25"/>
        <n v="31.99"/>
        <n v="35.029998999999997"/>
        <n v="34.57"/>
        <n v="36.810001"/>
        <n v="37.060001"/>
        <n v="36.729999999999997"/>
        <n v="36.409999999999997"/>
        <n v="35.520000000000003"/>
        <n v="34.740001999999997"/>
        <n v="33.729999999999997"/>
        <n v="34.459999000000003"/>
        <n v="33.93"/>
        <n v="33.759998000000003"/>
        <n v="34.090000000000003"/>
        <n v="33.959999000000003"/>
        <n v="34.229999999999997"/>
        <n v="34.110000999999997"/>
        <n v="32.970001000000003"/>
        <n v="33.700001"/>
        <n v="33.590000000000003"/>
        <n v="33.599997999999999"/>
        <n v="32.919998"/>
        <n v="32.770000000000003"/>
        <n v="34.150002000000001"/>
        <n v="34.549999"/>
        <n v="34.529998999999997"/>
        <n v="34.759998000000003"/>
        <n v="34.099997999999999"/>
        <n v="34.470001000000003"/>
        <n v="35.220001000000003"/>
        <n v="35.310001"/>
        <n v="34.389999000000003"/>
        <n v="34.790000999999997"/>
        <n v="36.580002"/>
        <n v="36.610000999999997"/>
        <n v="35.970001000000003"/>
        <n v="36.119999"/>
        <n v="35.599997999999999"/>
        <n v="35.369999"/>
        <n v="34.380001"/>
        <n v="34.610000999999997"/>
        <n v="33.450001"/>
        <n v="34.439999"/>
        <n v="34.330002"/>
        <n v="33.909999999999997"/>
        <n v="33.229999999999997"/>
        <n v="33.110000999999997"/>
        <n v="33.009998000000003"/>
        <n v="31.959999"/>
        <n v="31.93"/>
        <n v="32.939999"/>
        <n v="32.720001000000003"/>
        <n v="32.599997999999999"/>
        <n v="32.200001"/>
        <n v="27.59"/>
        <n v="28.620000999999998"/>
        <n v="29.42"/>
        <n v="29.18"/>
        <n v="28.75"/>
        <n v="29.219999000000001"/>
        <n v="30.42"/>
        <n v="30.25"/>
        <n v="31.450001"/>
        <n v="31.799999"/>
        <n v="29.209999"/>
        <n v="29.27"/>
        <n v="29.780000999999999"/>
        <n v="28.76"/>
        <n v="28.23"/>
        <n v="27.73"/>
        <n v="25.879999000000002"/>
        <n v="26.030000999999999"/>
        <n v="25.440000999999999"/>
        <n v="26.209999"/>
        <n v="27.34"/>
        <n v="25.01"/>
        <n v="23.23"/>
        <n v="22.299999"/>
        <n v="24.1"/>
        <n v="22.66"/>
        <n v="23.93"/>
        <n v="24.719999000000001"/>
        <n v="23.360001"/>
        <n v="21.530000999999999"/>
        <n v="22.32"/>
        <n v="21.959999"/>
        <n v="21.18"/>
        <n v="23"/>
        <n v="22.629999000000002"/>
        <n v="22.33"/>
        <n v="22.620000999999998"/>
        <n v="22.08"/>
        <n v="20.879999000000002"/>
        <n v="21.299999"/>
        <n v="21.200001"/>
        <n v="20.299999"/>
        <n v="21.25"/>
        <n v="20.059999000000001"/>
        <n v="19.32"/>
        <n v="19.620000999999998"/>
        <n v="18.290001"/>
        <n v="17.530000999999999"/>
        <n v="19.68"/>
        <n v="20.690000999999999"/>
        <n v="19.989999999999998"/>
        <n v="20.49"/>
        <n v="20.219999000000001"/>
        <n v="18.610001"/>
        <n v="19.149999999999999"/>
        <n v="19.870000999999998"/>
        <n v="19.110001"/>
        <n v="21.01"/>
        <n v="20.6"/>
        <n v="20.610001"/>
        <n v="19.450001"/>
        <n v="19.360001"/>
        <n v="19.040001"/>
        <n v="20.110001"/>
        <n v="19.66"/>
        <n v="19.299999"/>
        <n v="19.120000999999998"/>
        <n v="19.18"/>
        <n v="19.280000999999999"/>
        <n v="19.170000000000002"/>
        <n v="19.129999000000002"/>
        <n v="18.959999"/>
        <n v="19.34"/>
        <n v="19.440000999999999"/>
        <n v="20.329999999999998"/>
        <n v="20.52"/>
        <n v="20.76"/>
        <n v="19.510000000000002"/>
        <n v="20.120000999999998"/>
        <n v="19.52"/>
        <n v="19.469999000000001"/>
        <n v="19.82"/>
        <n v="19.09"/>
        <n v="19.239999999999998"/>
        <n v="19.709999"/>
        <n v="18.48"/>
        <n v="19.379999000000002"/>
        <n v="17.110001"/>
        <n v="17.200001"/>
        <n v="17.629999000000002"/>
        <n v="17.66"/>
        <n v="18.040001"/>
        <n v="17.59"/>
        <n v="17.100000000000001"/>
        <n v="17.829999999999998"/>
        <n v="18.5"/>
        <n v="18.629999000000002"/>
        <n v="18.799999"/>
        <n v="19.209999"/>
        <n v="19.260000000000002"/>
        <n v="18.09"/>
        <n v="18.120000999999998"/>
        <n v="17.91"/>
        <n v="18"/>
        <n v="17.209999"/>
        <n v="17.170000000000002"/>
        <n v="16.959999"/>
        <n v="16.420000000000002"/>
        <n v="16.149999999999999"/>
        <n v="15.79"/>
        <n v="15.88"/>
        <n v="16.120000999999998"/>
        <n v="15.27"/>
        <n v="15.28"/>
        <n v="15.15"/>
        <n v="16.48"/>
        <n v="17.010000000000002"/>
        <n v="16.649999999999999"/>
        <n v="16.899999999999999"/>
        <n v="17.139999"/>
        <n v="17.059999000000001"/>
        <n v="18.329999999999998"/>
        <n v="17.93"/>
        <n v="17.879999000000002"/>
        <n v="18.829999999999998"/>
        <n v="18.129999000000002"/>
        <n v="17.48"/>
        <n v="18.370000999999998"/>
        <n v="19.309999000000001"/>
        <n v="19.290001"/>
        <n v="18.75"/>
        <n v="18.760000000000002"/>
        <n v="19.190000999999999"/>
        <n v="19.670000000000002"/>
        <n v="19.59"/>
        <n v="19.350000000000001"/>
        <n v="19.760000000000002"/>
        <n v="19.200001"/>
        <n v="18.969999000000001"/>
        <n v="18.780000999999999"/>
        <n v="18.920000000000002"/>
        <n v="20.91"/>
        <n v="20.399999999999999"/>
        <n v="19.93"/>
        <n v="20.25"/>
        <n v="20.260000000000002"/>
        <n v="20.239999999999998"/>
        <n v="20.190000999999999"/>
        <n v="19.790001"/>
        <n v="19.420000000000002"/>
        <n v="19.889999"/>
        <n v="19.75"/>
        <n v="20.309999000000001"/>
        <n v="20.379999000000002"/>
        <n v="20.34"/>
        <n v="20.129999000000002"/>
        <n v="20.450001"/>
        <n v="20.889999"/>
        <n v="21.4"/>
        <n v="21.73"/>
        <n v="21.83"/>
        <n v="22.139999"/>
        <n v="22.049999"/>
        <n v="23.33"/>
        <n v="23.42"/>
        <n v="23.450001"/>
        <n v="23.68"/>
        <n v="23.280000999999999"/>
        <n v="23.34"/>
        <n v="23.790001"/>
        <n v="23.860001"/>
        <n v="24.040001"/>
        <n v="23.370000999999998"/>
        <n v="23.200001"/>
        <n v="22.530000999999999"/>
        <n v="22.440000999999999"/>
        <n v="22.389999"/>
        <n v="23.110001"/>
        <n v="24.83"/>
        <n v="24.799999"/>
        <n v="25.559999000000001"/>
        <n v="23.809999000000001"/>
        <n v="23.52"/>
        <n v="23.83"/>
        <n v="23.459999"/>
        <n v="23.129999000000002"/>
        <n v="23.65"/>
        <n v="24.549999"/>
        <n v="24.110001"/>
        <n v="24.82"/>
        <n v="25.77"/>
        <n v="26.709999"/>
        <n v="27.879999000000002"/>
        <n v="29.629999000000002"/>
        <n v="30.110001"/>
        <n v="29.790001"/>
        <n v="29.41"/>
        <n v="30.360001"/>
        <n v="30.82"/>
        <n v="31.17"/>
        <n v="31.389999"/>
        <n v="30.959999"/>
        <n v="30.950001"/>
        <n v="30.77"/>
        <n v="30.27"/>
        <n v="30.35"/>
        <n v="29.32"/>
        <n v="29.67"/>
        <n v="28.969999000000001"/>
        <n v="28.33"/>
        <n v="29.290001"/>
        <n v="29.59"/>
        <n v="29.879999000000002"/>
        <n v="29.65"/>
        <n v="30.34"/>
        <n v="30.870000999999998"/>
        <n v="30.67"/>
        <n v="31.040001"/>
        <n v="30.85"/>
        <n v="30.540001"/>
        <n v="30.129999000000002"/>
        <n v="28.879999000000002"/>
        <n v="23.309999000000001"/>
        <n v="23.82"/>
        <n v="24.27"/>
        <n v="25.120000999999998"/>
        <n v="24.49"/>
        <n v="23.639999"/>
        <n v="23.9"/>
        <n v="23.940000999999999"/>
        <n v="23.959999"/>
        <n v="23.85"/>
        <n v="24.379999000000002"/>
        <n v="25.82"/>
        <n v="27.98"/>
        <n v="28.200001"/>
        <n v="26.549999"/>
        <n v="26.08"/>
        <n v="25.41"/>
        <n v="25.870000999999998"/>
        <n v="24.52"/>
        <n v="24.26"/>
        <n v="24.48"/>
        <n v="23.98"/>
        <n v="26.98"/>
        <n v="25.059999000000001"/>
        <n v="29.34"/>
        <n v="29.530000999999999"/>
        <n v="30.24"/>
        <n v="31.290001"/>
        <n v="31.440000999999999"/>
        <n v="31.370000999999998"/>
        <n v="31.48"/>
        <n v="31.74"/>
        <n v="32.290000999999997"/>
        <n v="32.080002"/>
        <n v="31.559999000000001"/>
        <n v="31.84"/>
        <n v="32.009998000000003"/>
        <n v="32.040000999999997"/>
        <n v="32.669998"/>
        <n v="32.849997999999999"/>
        <n v="32.590000000000003"/>
        <n v="32.520000000000003"/>
        <n v="32.189999"/>
        <n v="32.119999"/>
        <n v="32.259998000000003"/>
        <n v="31.940000999999999"/>
        <n v="31.52"/>
        <n v="30.469999000000001"/>
        <n v="30.809999000000001"/>
        <n v="31.139999"/>
        <n v="31.01"/>
        <n v="31.92"/>
        <n v="32.110000999999997"/>
        <n v="31.98"/>
        <n v="32.020000000000003"/>
        <n v="31.76"/>
        <n v="30.65"/>
        <n v="30.76"/>
        <n v="30.209999"/>
        <n v="29.75"/>
        <n v="29.059999000000001"/>
        <n v="28.51"/>
        <n v="30.93"/>
        <n v="30.139999"/>
        <n v="29.15"/>
        <n v="30.26"/>
        <n v="30.629999000000002"/>
        <n v="31.18"/>
        <n v="30.16"/>
        <n v="29.200001"/>
        <n v="30.280000999999999"/>
        <n v="31.790001"/>
        <n v="32.610000999999997"/>
        <n v="33.099997999999999"/>
        <n v="33.490001999999997"/>
        <n v="33.75"/>
        <n v="33.310001"/>
        <n v="32.990001999999997"/>
        <n v="32.659999999999997"/>
        <n v="32.689999"/>
        <n v="33.849997999999999"/>
        <n v="34.080002"/>
        <n v="34.869999"/>
        <n v="35.080002"/>
        <n v="34.270000000000003"/>
        <n v="35.020000000000003"/>
        <n v="34.900002000000001"/>
        <n v="34.990001999999997"/>
        <n v="34.779998999999997"/>
        <n v="34.959999000000003"/>
        <n v="35.470001000000003"/>
        <n v="34.840000000000003"/>
        <n v="34.720001000000003"/>
        <n v="34.400002000000001"/>
        <n v="34.979999999999997"/>
        <n v="33.669998"/>
        <n v="34.349997999999999"/>
        <n v="34.619999"/>
        <n v="34.540000999999997"/>
        <n v="33.939999"/>
        <n v="34.209999000000003"/>
        <n v="36.169998"/>
        <n v="36.270000000000003"/>
        <n v="35.740001999999997"/>
        <n v="35.439999"/>
        <n v="31.82"/>
        <n v="31.620000999999998"/>
        <n v="31.85"/>
        <n v="31.67"/>
        <n v="31.889999"/>
        <n v="31.700001"/>
        <n v="31.58"/>
        <n v="32.060001"/>
        <n v="32.889999000000003"/>
        <n v="32.869999"/>
        <n v="32.349997999999999"/>
        <n v="31.610001"/>
        <n v="33.259998000000003"/>
        <n v="33.020000000000003"/>
        <n v="33.549999"/>
        <n v="33.400002000000001"/>
        <n v="31.879999000000002"/>
        <n v="31.200001"/>
        <n v="31.23"/>
        <n v="31.15"/>
        <n v="31.66"/>
        <n v="32.740001999999997"/>
        <n v="32.799999"/>
        <n v="32.93"/>
        <n v="33.32"/>
        <n v="33.639999000000003"/>
        <n v="32.790000999999997"/>
        <n v="32.450001"/>
        <n v="32.509998000000003"/>
        <n v="33.279998999999997"/>
        <n v="33.580002"/>
        <n v="33.919998"/>
        <n v="33.860000999999997"/>
        <n v="33.880001"/>
        <n v="33.299999"/>
        <n v="33.07"/>
        <n v="34.130001"/>
        <n v="35.729999999999997"/>
        <n v="35.540000999999997"/>
        <n v="35.409999999999997"/>
        <n v="35.529998999999997"/>
        <n v="35.939999"/>
        <n v="36.639999000000003"/>
        <n v="38.18"/>
        <n v="37.779998999999997"/>
        <n v="37.590000000000003"/>
        <n v="37.360000999999997"/>
        <n v="38.159999999999997"/>
        <n v="38.020000000000003"/>
        <n v="37.840000000000003"/>
        <n v="37.200001"/>
        <n v="36.740001999999997"/>
        <n v="37.080002"/>
        <n v="37.400002000000001"/>
        <n v="37.57"/>
        <n v="37.639999000000003"/>
        <n v="37.349997999999999"/>
        <n v="37.599997999999999"/>
        <n v="38.130001"/>
        <n v="38.450001"/>
        <n v="38.310001"/>
        <n v="38.939999"/>
        <n v="38"/>
        <n v="38.360000999999997"/>
        <n v="38.709999000000003"/>
        <n v="38.110000999999997"/>
        <n v="37.610000999999997"/>
        <n v="37.220001000000003"/>
        <n v="36.689999"/>
        <n v="36.889999000000003"/>
        <n v="36.520000000000003"/>
        <n v="36.25"/>
        <n v="36.799999"/>
        <n v="36.619999"/>
        <n v="37.439999"/>
        <n v="37.290000999999997"/>
        <n v="37.409999999999997"/>
        <n v="37.159999999999997"/>
        <n v="36.909999999999997"/>
        <n v="36.130001"/>
        <n v="35.759998000000003"/>
        <n v="35.779998999999997"/>
        <n v="36.759998000000003"/>
        <n v="36.380001"/>
        <n v="35.93"/>
        <n v="36.659999999999997"/>
        <n v="36.860000999999997"/>
        <n v="36.479999999999997"/>
        <n v="36.349997999999999"/>
        <n v="35.82"/>
        <n v="36.560001"/>
        <n v="37.169998"/>
        <n v="37.470001000000003"/>
        <n v="37.619999"/>
        <n v="37.419998"/>
        <n v="37.509998000000003"/>
        <n v="37.75"/>
        <n v="37.979999999999997"/>
        <n v="37.689999"/>
        <n v="37.540000999999997"/>
        <n v="37.860000999999997"/>
        <n v="38.409999999999997"/>
        <n v="38.150002000000001"/>
        <n v="37.900002000000001"/>
        <n v="37.82"/>
        <n v="38.270000000000003"/>
        <n v="37.889999000000003"/>
        <n v="37.700001"/>
        <n v="38.049999"/>
        <n v="39.549999"/>
        <n v="39.270000000000003"/>
        <n v="40.330002"/>
        <n v="40.159999999999997"/>
        <n v="40.340000000000003"/>
        <n v="39.790000999999997"/>
        <n v="39.360000999999997"/>
        <n v="40.299999"/>
        <n v="40.990001999999997"/>
        <n v="41.419998"/>
        <n v="41.349997999999999"/>
        <n v="41.009998000000003"/>
        <n v="39.869999"/>
        <n v="39.799999"/>
        <n v="39.82"/>
        <n v="40.470001000000003"/>
        <n v="39.209999000000003"/>
        <n v="39.18"/>
        <n v="40.400002000000001"/>
        <n v="40.009998000000003"/>
        <n v="39.939999"/>
        <n v="39.990001999999997"/>
        <n v="39.689999"/>
        <n v="39.860000999999997"/>
        <n v="39.909999999999997"/>
        <n v="40.869999"/>
        <n v="40.509998000000003"/>
        <n v="39.43"/>
        <n v="39.060001"/>
        <n v="39.419998"/>
        <n v="39.639999000000003"/>
        <n v="39.540000999999997"/>
        <n v="39.970001000000003"/>
        <n v="40.419998"/>
        <n v="40.240001999999997"/>
        <n v="39.599997999999999"/>
        <n v="39.830002"/>
        <n v="39.68"/>
        <n v="40.349997999999999"/>
        <n v="40.099997999999999"/>
        <n v="40.119999"/>
        <n v="40.189999"/>
        <n v="40.939999"/>
        <n v="40.790000999999997"/>
        <n v="40.290000999999997"/>
        <n v="40.32"/>
        <n v="41.209999000000003"/>
        <n v="41.48"/>
        <n v="41.27"/>
        <n v="41.110000999999997"/>
        <n v="40.860000999999997"/>
        <n v="40.580002"/>
        <n v="41.23"/>
        <n v="41.5"/>
        <n v="41.68"/>
        <n v="41.650002000000001"/>
        <n v="41.509998000000003"/>
        <n v="41.990001999999997"/>
        <n v="41.75"/>
        <n v="42.029998999999997"/>
        <n v="41.720001000000003"/>
        <n v="42.25"/>
        <n v="41.700001"/>
        <n v="41.869999"/>
        <n v="41.900002000000001"/>
        <n v="41.799999"/>
        <n v="41.779998999999997"/>
        <n v="41.669998"/>
        <n v="41.689999"/>
        <n v="42.09"/>
        <n v="42.139999000000003"/>
        <n v="42.450001"/>
        <n v="44.080002"/>
        <n v="44.529998999999997"/>
        <n v="44.689999"/>
        <n v="44.84"/>
        <n v="44.830002"/>
        <n v="44.869999"/>
        <n v="44.400002000000001"/>
        <n v="44.5"/>
        <n v="43.970001000000003"/>
        <n v="43.889999000000003"/>
        <n v="43.580002"/>
        <n v="43.16"/>
        <n v="42.860000999999997"/>
        <n v="43.369999"/>
        <n v="43.080002"/>
        <n v="42.740001999999997"/>
        <n v="43.23"/>
        <n v="43.200001"/>
        <n v="43.52"/>
        <n v="44.27"/>
        <n v="44.790000999999997"/>
        <n v="45.110000999999997"/>
        <n v="45.330002"/>
        <n v="44.950001"/>
        <n v="45.220001000000003"/>
        <n v="45.150002000000001"/>
        <n v="45.169998"/>
        <n v="45.009998000000003"/>
        <n v="44.880001"/>
        <n v="45.43"/>
        <n v="45.09"/>
        <n v="44.959999000000003"/>
        <n v="45.259998000000003"/>
        <n v="45.91"/>
        <n v="46.470001000000003"/>
        <n v="46.759998000000003"/>
        <n v="46.84"/>
        <n v="46.700001"/>
        <n v="46.240001999999997"/>
        <n v="46.52"/>
        <n v="46.68"/>
        <n v="47.52"/>
        <n v="47.060001"/>
        <n v="46.560001"/>
        <n v="47.080002"/>
        <n v="46.040000999999997"/>
        <n v="46.41"/>
        <n v="46.439999"/>
        <n v="46.360000999999997"/>
        <n v="45.900002000000001"/>
        <n v="45.759998000000003"/>
        <n v="46.09"/>
        <n v="45.529998999999997"/>
        <n v="46.779998999999997"/>
        <n v="45.849997999999999"/>
        <n v="44.029998999999997"/>
        <n v="43.650002000000001"/>
        <n v="43.73"/>
        <n v="43.220001000000003"/>
        <n v="43.630001"/>
        <n v="44.380001"/>
        <n v="45.02"/>
        <n v="46.130001"/>
        <n v="46.490001999999997"/>
        <n v="46.619999"/>
        <n v="46.049999"/>
        <n v="46.950001"/>
        <n v="47.439999"/>
        <n v="47.57"/>
        <n v="47.860000999999997"/>
        <n v="48.700001"/>
        <n v="48.68"/>
        <n v="48.889999000000003"/>
        <n v="48.869999"/>
        <n v="48.779998999999997"/>
        <n v="49.610000999999997"/>
        <n v="49.580002"/>
        <n v="49.459999000000003"/>
        <n v="48.740001999999997"/>
        <n v="48.220001000000003"/>
        <n v="47.98"/>
        <n v="47.59"/>
        <n v="47.470001000000003"/>
        <n v="47.75"/>
        <n v="47.810001"/>
        <n v="48.619999"/>
        <n v="48.459999000000003"/>
        <n v="48.080002"/>
        <n v="48.84"/>
        <n v="48.419998"/>
        <n v="47.700001"/>
        <n v="46.900002000000001"/>
        <n v="47.169998"/>
        <n v="46.669998"/>
        <n v="45.16"/>
        <n v="45.740001999999997"/>
        <n v="47.66"/>
        <n v="48.450001"/>
        <n v="48.139999000000003"/>
        <n v="47.880001"/>
        <n v="47.450001"/>
        <n v="47.02"/>
        <n v="46.450001"/>
        <n v="46.330002"/>
        <n v="45.650002000000001"/>
        <n v="46.23"/>
        <n v="47.189999"/>
        <n v="46.599997999999999"/>
        <n v="45.959999000000003"/>
        <n v="45.48"/>
        <n v="46.389999000000003"/>
        <n v="45.919998"/>
        <n v="47.130001"/>
        <n v="47.18"/>
        <n v="47.009998000000003"/>
        <n v="42.66"/>
        <n v="41.189999"/>
        <n v="42.009998000000003"/>
        <n v="41.279998999999997"/>
        <n v="41.599997999999999"/>
        <n v="41.84"/>
        <n v="42.41"/>
        <n v="42.360000999999997"/>
        <n v="42.599997999999999"/>
        <n v="42.380001"/>
        <n v="43.09"/>
        <n v="43.869999"/>
        <n v="43.529998999999997"/>
        <n v="43.860000999999997"/>
        <n v="44.150002000000001"/>
        <n v="44.09"/>
        <n v="43.990001999999997"/>
        <n v="44.060001"/>
        <n v="43.849997999999999"/>
        <n v="43.880001"/>
        <n v="43.279998999999997"/>
        <n v="43.060001"/>
        <n v="43.110000999999997"/>
        <n v="42.849997999999999"/>
        <n v="41.98"/>
        <n v="41.02"/>
        <n v="41.380001"/>
        <n v="41.560001"/>
        <n v="42.290000999999997"/>
        <n v="42.880001"/>
        <n v="42.900002000000001"/>
        <n v="41.459999000000003"/>
        <n v="40.970001000000003"/>
        <n v="40.959999000000003"/>
        <n v="40.659999999999997"/>
        <n v="40.720001000000003"/>
        <n v="41.549999"/>
        <n v="41.529998999999997"/>
        <n v="41.759998000000003"/>
        <n v="42.259998000000003"/>
        <n v="42.16"/>
        <n v="41.619999"/>
        <n v="42.91"/>
        <n v="42.639999000000003"/>
        <n v="42.990001999999997"/>
        <n v="43.34"/>
        <n v="47.869999"/>
        <n v="48.029998999999997"/>
        <n v="49.16"/>
        <n v="49.060001"/>
        <n v="48.639999000000003"/>
        <n v="48.66"/>
        <n v="48.240001999999997"/>
        <n v="47.599997999999999"/>
        <n v="46.279998999999997"/>
        <n v="47.369999"/>
        <n v="47.349997999999999"/>
        <n v="47.630001"/>
        <n v="48.720001000000003"/>
        <n v="48.299999"/>
        <n v="48.009998000000003"/>
        <n v="47.580002"/>
        <n v="47.419998"/>
        <n v="46.59"/>
        <n v="47.610000999999997"/>
        <n v="46.860000999999997"/>
        <n v="47.23"/>
        <n v="46.919998"/>
        <n v="46.849997999999999"/>
        <n v="46.139999000000003"/>
        <n v="45.73"/>
        <n v="46.610000999999997"/>
        <n v="45.970001000000003"/>
        <n v="45.830002"/>
        <n v="46.720001000000003"/>
        <n v="46.099997999999999"/>
        <n v="45.639999000000003"/>
        <n v="44.369999"/>
        <n v="44.450001"/>
        <n v="44.389999000000003"/>
        <n v="44.299999"/>
        <n v="44.240001999999997"/>
        <n v="44.52"/>
        <n v="44.610000999999997"/>
        <n v="45.540000999999997"/>
        <n v="45.619999"/>
        <n v="46.66"/>
        <n v="47.279998999999997"/>
        <n v="46.110000999999997"/>
        <n v="45.939999"/>
        <n v="45.349997999999999"/>
        <n v="45.34"/>
        <n v="46.290000999999997"/>
        <n v="46.880001"/>
        <n v="46.810001"/>
        <n v="47.540000999999997"/>
        <n v="46.740001999999997"/>
        <n v="47.330002"/>
        <n v="46.73"/>
        <n v="47.32"/>
        <n v="47.27"/>
        <n v="45.66"/>
        <n v="43.07"/>
        <n v="42.709999000000003"/>
        <n v="43.900002000000001"/>
        <n v="43.93"/>
        <n v="41.82"/>
        <n v="43.360000999999997"/>
        <n v="42.610000999999997"/>
        <n v="43.290000999999997"/>
        <n v="43.48"/>
        <n v="43.040000999999997"/>
        <n v="43.98"/>
        <n v="44.25"/>
        <n v="44.110000999999997"/>
        <n v="43.91"/>
        <n v="43.939999"/>
        <n v="43.439999"/>
        <n v="44.259998000000003"/>
        <n v="45.57"/>
        <n v="46.630001"/>
        <n v="46.75"/>
        <n v="46.799999"/>
        <n v="47.110000999999997"/>
        <n v="46.889999000000003"/>
        <n v="47.509998000000003"/>
        <n v="47.619999"/>
        <n v="47.77"/>
        <n v="47.200001"/>
        <n v="52.869999"/>
        <n v="54.25"/>
        <n v="53.689999"/>
        <n v="53.98"/>
        <n v="53.360000999999997"/>
        <n v="52.639999000000003"/>
        <n v="53.240001999999997"/>
        <n v="54.150002000000001"/>
        <n v="54.400002000000001"/>
        <n v="54.380001"/>
        <n v="54.919998"/>
        <n v="54.16"/>
        <n v="53.509998000000003"/>
        <n v="53.650002000000001"/>
        <n v="53.32"/>
        <n v="52.84"/>
        <n v="53.77"/>
        <n v="52.970001000000003"/>
        <n v="53.849997999999999"/>
        <n v="53.939999"/>
        <n v="54.189999"/>
        <n v="53.93"/>
        <n v="54.349997999999999"/>
        <n v="55.220001000000003"/>
        <n v="55.209999000000003"/>
        <n v="54.200001"/>
        <n v="55.91"/>
        <n v="55.810001"/>
        <n v="55.790000999999997"/>
        <n v="54.98"/>
        <n v="55.27"/>
        <n v="54.060001"/>
        <n v="55.139999000000003"/>
        <n v="55.200001"/>
        <n v="56.130001"/>
        <n v="55.700001"/>
        <n v="54.130001"/>
        <n v="54.830002"/>
        <n v="55.349997999999999"/>
        <n v="55.82"/>
        <n v="55.669998"/>
        <n v="55.950001"/>
        <n v="56.549999"/>
        <n v="56.310001"/>
        <n v="55.48"/>
        <n v="54.799999"/>
        <n v="55.049999"/>
        <n v="54.049999"/>
        <n v="52.169998"/>
        <n v="52.330002"/>
        <n v="52.299999"/>
        <n v="52.779998999999997"/>
        <n v="51.639999000000003"/>
        <n v="53.110000999999997"/>
        <n v="50.990001999999997"/>
        <n v="50.560001"/>
        <n v="50.790000999999997"/>
        <n v="50.48"/>
        <n v="52.290000999999997"/>
        <n v="51.790000999999997"/>
        <n v="51.220001000000003"/>
        <n v="52.060001"/>
        <n v="55.09"/>
        <n v="54.709999000000003"/>
        <n v="52.16"/>
        <n v="50.16"/>
        <n v="49.41"/>
        <n v="49.279998999999997"/>
        <n v="49.709999000000003"/>
        <n v="49.689999"/>
        <n v="51.09"/>
        <n v="52.419998"/>
        <n v="52.189999"/>
        <n v="51.82"/>
        <n v="52.650002000000001"/>
        <n v="51.18"/>
        <n v="51.360000999999997"/>
        <n v="52.099997999999999"/>
        <n v="51.299999"/>
        <n v="50.880001"/>
        <n v="52.580002"/>
        <n v="52.950001"/>
        <n v="52.349997999999999"/>
        <n v="52.029998999999997"/>
        <n v="51.029998999999997"/>
        <n v="51.650002000000001"/>
        <n v="52.049999"/>
        <n v="53.07"/>
        <n v="53.169998"/>
        <n v="53.59"/>
        <n v="54.66"/>
        <n v="53.490001999999997"/>
        <n v="53.860000999999997"/>
        <n v="54.07"/>
        <n v="53.970001000000003"/>
        <n v="54.209999000000003"/>
        <n v="53.540000999999997"/>
        <n v="55.23"/>
        <n v="55.57"/>
        <n v="55.43"/>
        <n v="54.560001"/>
        <n v="55.119999"/>
        <n v="54.459999000000003"/>
        <n v="54.419998"/>
        <n v="54.310001"/>
        <n v="54.650002000000001"/>
        <n v="55.360000999999997"/>
        <n v="55.650002000000001"/>
        <n v="56.459999000000003"/>
        <n v="56.389999000000003"/>
        <n v="55.59"/>
        <n v="55.779998999999997"/>
        <n v="51.779998999999997"/>
        <n v="52.110000999999997"/>
        <n v="51.439999"/>
        <n v="50.939999"/>
        <n v="49.900002000000001"/>
        <n v="49.869999"/>
        <n v="50.610000999999997"/>
        <n v="49.779998999999997"/>
        <n v="49.939999"/>
        <n v="50.389999000000003"/>
        <n v="50.07"/>
        <n v="51.02"/>
        <n v="51.049999"/>
        <n v="51.509998000000003"/>
        <n v="51.080002"/>
        <n v="51.830002"/>
        <n v="50.509998000000003"/>
        <n v="50.810001"/>
        <n v="50.32"/>
        <n v="50.619999"/>
        <n v="50.029998999999997"/>
        <n v="51.59"/>
        <n v="52.119999"/>
        <n v="51.889999000000003"/>
        <n v="52.32"/>
        <n v="52.849997999999999"/>
        <n v="52.48"/>
        <n v="52.130001"/>
        <n v="52.040000999999997"/>
        <n v="51.619999"/>
        <n v="51.48"/>
        <n v="50.139999000000003"/>
        <n v="49.830002"/>
        <n v="50.130001"/>
        <n v="51.189999"/>
        <n v="51.91"/>
        <n v="48.43"/>
        <n v="49.439999"/>
        <n v="50.540000999999997"/>
        <n v="51.169998"/>
        <n v="51.16"/>
        <n v="51.380001"/>
        <n v="52.59"/>
        <n v="53.209999000000003"/>
        <n v="53.740001999999997"/>
        <n v="53.700001"/>
        <n v="53.959999000000003"/>
        <n v="53.09"/>
        <n v="55.799999"/>
        <n v="56.57"/>
        <n v="56.73"/>
        <n v="56.759998000000003"/>
        <n v="56.189999"/>
        <n v="56.209999000000003"/>
        <n v="56.68"/>
        <n v="56.580002"/>
        <n v="56.970001000000003"/>
        <n v="57.389999000000003"/>
        <n v="57.959999000000003"/>
        <n v="58.060001"/>
        <n v="58.200001"/>
        <n v="58.02"/>
        <n v="58.299999"/>
        <n v="57.939999"/>
        <n v="58.119999"/>
        <n v="57.439999"/>
        <n v="57.560001"/>
        <n v="57.599997999999999"/>
        <n v="57.619999"/>
        <n v="57.669998"/>
        <n v="57.889999000000003"/>
        <n v="57.950001"/>
        <n v="58.169998"/>
        <n v="58.029998999999997"/>
        <n v="58.099997999999999"/>
        <n v="57.459999000000003"/>
        <n v="57.59"/>
        <n v="57.610000999999997"/>
        <n v="57.66"/>
        <n v="57.43"/>
        <n v="57.049999"/>
        <n v="56.529998999999997"/>
        <n v="56.259998000000003"/>
        <n v="57.189999"/>
        <n v="57.25"/>
        <n v="56.93"/>
        <n v="56.810001"/>
        <n v="57.759998000000003"/>
        <n v="57.82"/>
        <n v="56.900002000000001"/>
        <n v="57.400002000000001"/>
        <n v="57.419998"/>
        <n v="57.240001999999997"/>
        <n v="57.639999000000003"/>
        <n v="57.740001999999997"/>
        <n v="57.799999"/>
        <n v="58.040000999999997"/>
        <n v="57.110000999999997"/>
        <n v="56.919998"/>
        <n v="57.220001000000003"/>
        <n v="57.529998999999997"/>
        <n v="59.66"/>
        <n v="61"/>
        <n v="60.990001999999997"/>
        <n v="60.630001"/>
        <n v="60.099997999999999"/>
        <n v="59.869999"/>
        <n v="59.919998"/>
        <n v="59.799999"/>
        <n v="59.43"/>
        <n v="59.209999000000003"/>
        <n v="58.709999000000003"/>
        <n v="60.419998"/>
        <n v="60.470001000000003"/>
        <n v="60.169998"/>
        <n v="58.700001"/>
        <n v="59.02"/>
        <n v="58.869999"/>
        <n v="59.650002000000001"/>
        <n v="60.639999000000003"/>
        <n v="60.349997999999999"/>
        <n v="60.860000999999997"/>
        <n v="61.119999"/>
        <n v="60.400002000000001"/>
        <n v="60.529998999999997"/>
        <n v="60.610000999999997"/>
        <n v="61.09"/>
        <n v="60.259998000000003"/>
        <n v="59.200001"/>
        <n v="59.25"/>
        <n v="60.220001000000003"/>
        <n v="59.950001"/>
        <n v="61.369999"/>
        <n v="61.009998000000003"/>
        <n v="61.970001000000003"/>
        <n v="62.169998"/>
        <n v="62.98"/>
        <n v="62.68"/>
        <n v="62.580002"/>
        <n v="62.299999"/>
        <n v="63.619999"/>
        <n v="63.540000999999997"/>
        <n v="63.549999"/>
        <n v="63.240001999999997"/>
        <n v="63.279998999999997"/>
        <n v="62.990001999999997"/>
        <n v="62.900002000000001"/>
        <n v="62.139999000000003"/>
        <n v="62.84"/>
        <n v="62.639999000000003"/>
        <n v="62.619999"/>
        <n v="63.189999"/>
        <n v="62.610000999999997"/>
        <n v="62.700001"/>
        <n v="62.529998999999997"/>
        <n v="62.5"/>
        <n v="62.740001999999997"/>
        <n v="62.959999000000003"/>
        <n v="63.52"/>
        <n v="63.68"/>
        <n v="64.269997000000004"/>
        <n v="65.779999000000004"/>
        <n v="65.129997000000003"/>
        <n v="64.650002000000001"/>
        <n v="63.580002"/>
        <n v="63.169998"/>
        <n v="63.639999000000003"/>
        <n v="63.43"/>
        <n v="63.34"/>
        <n v="64.059997999999993"/>
        <n v="64"/>
        <n v="64.720000999999996"/>
        <n v="64.569999999999993"/>
        <n v="64.529999000000004"/>
        <n v="64.519997000000004"/>
        <n v="64.620002999999997"/>
        <n v="64.489998"/>
        <n v="64.360000999999997"/>
        <n v="64.230002999999996"/>
        <n v="63.98"/>
        <n v="64.940002000000007"/>
        <n v="64.010002"/>
        <n v="64.25"/>
        <n v="64.400002000000001"/>
        <n v="64.989998"/>
        <n v="64.730002999999996"/>
        <n v="64.930000000000007"/>
        <n v="64.709998999999996"/>
        <n v="64.410004000000001"/>
        <n v="64.75"/>
        <n v="64.639999000000003"/>
        <n v="64.870002999999997"/>
        <n v="64.209998999999996"/>
        <n v="65.029999000000004"/>
        <n v="64.980002999999996"/>
        <n v="65.099997999999999"/>
        <n v="65.290001000000004"/>
        <n v="65.470000999999996"/>
        <n v="65.709998999999996"/>
        <n v="65.860000999999997"/>
        <n v="65.550003000000004"/>
        <n v="65.730002999999996"/>
        <n v="65.559997999999993"/>
        <n v="65.680000000000007"/>
        <n v="65.529999000000004"/>
        <n v="65.480002999999996"/>
        <n v="65.230002999999996"/>
        <n v="64.949996999999996"/>
        <n v="65.389999000000003"/>
        <n v="65.040001000000004"/>
        <n v="65.5"/>
        <n v="66.400002000000001"/>
        <n v="67.529999000000004"/>
        <n v="67.919998000000007"/>
        <n v="67.830001999999993"/>
        <n v="68.269997000000004"/>
        <n v="68.459998999999996"/>
        <n v="69.410004000000001"/>
        <n v="69.300003000000004"/>
        <n v="69.080001999999993"/>
        <n v="68.809997999999993"/>
        <n v="69"/>
        <n v="68.940002000000007"/>
        <n v="69.040001000000004"/>
        <n v="69.309997999999993"/>
        <n v="68.379997000000003"/>
        <n v="68.430000000000007"/>
        <n v="67.480002999999996"/>
        <n v="67.709998999999996"/>
        <n v="67.690002000000007"/>
        <n v="68.449996999999996"/>
        <n v="68.680000000000007"/>
        <n v="68.769997000000004"/>
        <n v="69.620002999999997"/>
        <n v="69.959998999999996"/>
        <n v="70.410004000000001"/>
        <n v="69.839995999999999"/>
        <n v="70.099997999999999"/>
        <n v="71.760002"/>
        <n v="72.279999000000004"/>
        <n v="72.519997000000004"/>
        <n v="72.389999000000003"/>
        <n v="71.949996999999996"/>
        <n v="70.319999999999993"/>
        <n v="69.779999000000004"/>
        <n v="70.650002000000001"/>
        <n v="70.269997000000004"/>
        <n v="69.900002000000001"/>
        <n v="70"/>
        <n v="70.870002999999997"/>
        <n v="69.910004000000001"/>
        <n v="70.260002"/>
        <n v="71.209998999999996"/>
        <n v="70.529999000000004"/>
        <n v="69.209998999999996"/>
        <n v="69.800003000000004"/>
        <n v="68.489998"/>
        <n v="68.930000000000007"/>
        <n v="68.169998000000007"/>
        <n v="68.569999999999993"/>
        <n v="69.459998999999996"/>
        <n v="69.980002999999996"/>
        <n v="69.989998"/>
        <n v="71.150002000000001"/>
        <n v="71.769997000000004"/>
        <n v="72.779999000000004"/>
        <n v="73.349997999999999"/>
        <n v="73.300003000000004"/>
        <n v="73.860000999999997"/>
        <n v="74.220000999999996"/>
        <n v="73.790001000000004"/>
        <n v="73.599997999999999"/>
        <n v="74.190002000000007"/>
        <n v="74.050003000000004"/>
        <n v="73.160004000000001"/>
        <n v="73.040001000000004"/>
        <n v="72.699996999999996"/>
        <n v="72.580001999999993"/>
        <n v="72.260002"/>
        <n v="72.150002000000001"/>
        <n v="72.680000000000007"/>
        <n v="72.400002000000001"/>
        <n v="72.790001000000004"/>
        <n v="72.470000999999996"/>
        <n v="71.410004000000001"/>
        <n v="72.5"/>
        <n v="73.589995999999999"/>
        <n v="73.220000999999996"/>
        <n v="73.650002000000001"/>
        <n v="72.489998"/>
        <n v="72.720000999999996"/>
        <n v="72.690002000000007"/>
        <n v="72.819999999999993"/>
        <n v="72.830001999999993"/>
        <n v="73.050003000000004"/>
        <n v="74.010002"/>
        <n v="74.769997000000004"/>
        <n v="73.940002000000007"/>
        <n v="73.610000999999997"/>
        <n v="73.400002000000001"/>
        <n v="74.339995999999999"/>
        <n v="73.980002999999996"/>
        <n v="74.760002"/>
        <n v="74.680000000000007"/>
        <n v="75.209998999999996"/>
        <n v="75.309997999999993"/>
        <n v="75.160004000000001"/>
        <n v="75.440002000000007"/>
        <n v="74.940002000000007"/>
        <n v="74.209998999999996"/>
        <n v="74.410004000000001"/>
        <n v="73.260002"/>
        <n v="73.849997999999999"/>
        <n v="73.870002999999997"/>
        <n v="74.489998"/>
        <n v="74.610000999999997"/>
        <n v="74.260002"/>
        <n v="74.690002000000007"/>
        <n v="75.970000999999996"/>
        <n v="76"/>
        <n v="76.290001000000004"/>
        <n v="76.419998000000007"/>
        <n v="77.120002999999997"/>
        <n v="77.489998"/>
        <n v="77.650002000000001"/>
        <n v="77.589995999999999"/>
        <n v="77.610000999999997"/>
        <n v="77.910004000000001"/>
        <n v="78.809997999999993"/>
        <n v="78.830001999999993"/>
        <n v="78.860000999999997"/>
        <n v="78.629997000000003"/>
        <n v="78.760002"/>
        <n v="83.809997999999993"/>
        <n v="83.889999000000003"/>
        <n v="83.18"/>
        <n v="84.050003000000004"/>
        <n v="84.139999000000003"/>
        <n v="84.470000999999996"/>
        <n v="84.269997000000004"/>
        <n v="84.559997999999993"/>
        <n v="84.089995999999999"/>
        <n v="83.870002999999997"/>
        <n v="83.93"/>
        <n v="82.980002999999996"/>
        <n v="83.199996999999996"/>
        <n v="82.400002000000001"/>
        <n v="82.529999000000004"/>
        <n v="83.720000999999996"/>
        <n v="83.110000999999997"/>
        <n v="83.260002"/>
        <n v="84.879997000000003"/>
        <n v="83.339995999999999"/>
        <n v="84.169998000000007"/>
        <n v="84.260002"/>
        <n v="81.080001999999993"/>
        <n v="81.589995999999999"/>
        <n v="82.779999000000004"/>
        <n v="82.489998"/>
        <n v="84.160004000000001"/>
        <n v="85.230002999999996"/>
        <n v="85.580001999999993"/>
        <n v="85.349997999999999"/>
        <n v="84.690002000000007"/>
        <n v="86.849997999999999"/>
        <n v="86.379997000000003"/>
        <n v="85.830001999999993"/>
        <n v="85.519997000000004"/>
        <n v="85.5"/>
        <n v="85.510002"/>
        <n v="85.400002000000001"/>
        <n v="85.709998999999996"/>
        <n v="85.720000999999996"/>
        <n v="85.540001000000004"/>
        <n v="85.949996999999996"/>
        <n v="86.349997999999999"/>
        <n v="87.110000999999997"/>
        <n v="88.190002000000007"/>
        <n v="88.279999000000004"/>
        <n v="88.220000999999996"/>
        <n v="87.82"/>
        <n v="88.080001999999993"/>
        <n v="89.599997999999999"/>
        <n v="88.349997999999999"/>
        <n v="90.139999000000003"/>
        <n v="90.099997999999999"/>
        <n v="90"/>
        <n v="91.610000999999997"/>
        <n v="91.900002000000001"/>
        <n v="91.82"/>
        <n v="92.330001999999993"/>
        <n v="94.059997999999993"/>
        <n v="93.919998000000007"/>
        <n v="92.739998"/>
        <n v="95.010002"/>
        <n v="94.260002"/>
        <n v="91.779999000000004"/>
        <n v="88"/>
        <n v="91.330001999999993"/>
        <n v="89.610000999999997"/>
        <n v="85.010002"/>
        <n v="88.18"/>
        <n v="89.129997000000003"/>
        <n v="89.830001999999993"/>
        <n v="90.809997999999993"/>
        <n v="92.660004000000001"/>
        <n v="92"/>
        <n v="92.720000999999996"/>
        <n v="91.489998"/>
        <n v="91.730002999999996"/>
        <n v="95.419998000000007"/>
        <n v="94.199996999999996"/>
        <n v="93.769997000000004"/>
        <n v="92.849997999999999"/>
        <n v="93.050003000000004"/>
        <n v="93.639999000000003"/>
        <n v="93.32"/>
        <n v="93.860000999999997"/>
        <n v="94.43"/>
        <n v="96.540001000000004"/>
        <n v="96.769997000000004"/>
        <n v="94.410004000000001"/>
        <n v="93.849997999999999"/>
        <n v="94.18"/>
        <n v="94.599997999999999"/>
        <n v="92.889999000000003"/>
        <n v="93.129997000000003"/>
        <n v="92.480002999999996"/>
        <n v="89.790001000000004"/>
        <n v="87.18"/>
        <n v="93.779999000000004"/>
        <n v="89.470000999999996"/>
        <n v="89.389999000000003"/>
        <n v="91.269997000000004"/>
        <n v="88.519997000000004"/>
        <n v="89.709998999999996"/>
        <n v="92.379997000000003"/>
        <n v="90.230002999999996"/>
        <n v="90.769997000000004"/>
        <n v="92.879997000000003"/>
        <n v="91.860000999999997"/>
        <n v="93.580001999999993"/>
        <n v="93.080001999999993"/>
        <n v="94.169998000000007"/>
        <n v="96.07"/>
        <n v="96.440002000000007"/>
        <n v="96.110000999999997"/>
        <n v="95"/>
        <n v="95.349997999999999"/>
        <n v="93.120002999999997"/>
        <n v="92.309997999999993"/>
        <n v="95.82"/>
        <n v="93.519997000000004"/>
        <n v="93.510002"/>
        <n v="94.07"/>
        <n v="95.160004000000001"/>
        <n v="96.220000999999996"/>
        <n v="95.809997999999993"/>
        <n v="96.940002000000007"/>
        <n v="97.910004000000001"/>
        <n v="97.699996999999996"/>
        <n v="98.029999000000004"/>
        <n v="97.32"/>
        <n v="97.150002000000001"/>
        <n v="96.18"/>
        <n v="96.360000999999997"/>
        <n v="97.599997999999999"/>
        <n v="97.5"/>
        <n v="98.660004000000001"/>
        <n v="98.309997999999993"/>
        <n v="98.360000999999997"/>
        <n v="98.010002"/>
        <n v="98.949996999999996"/>
        <n v="98.839995999999999"/>
        <n v="100.790001"/>
        <n v="101.66999800000001"/>
        <n v="102.19000200000001"/>
        <n v="102.489998"/>
        <n v="100.879997"/>
        <n v="101.629997"/>
        <n v="101.050003"/>
        <n v="101.30999799999999"/>
        <n v="100.849998"/>
        <n v="101.41999800000001"/>
        <n v="100.129997"/>
        <n v="100.860001"/>
        <n v="101.870003"/>
        <n v="101.139999"/>
        <n v="100.410004"/>
        <n v="98.389999000000003"/>
        <n v="99.080001999999993"/>
        <n v="97.540001000000004"/>
        <n v="98.629997000000003"/>
        <n v="98.610000999999997"/>
        <n v="100.010002"/>
        <n v="99.050003000000004"/>
        <n v="99.760002"/>
        <n v="101.160004"/>
        <n v="101.849998"/>
        <n v="102.120003"/>
        <n v="101.980003"/>
        <n v="104.19000200000001"/>
        <n v="105.43"/>
        <n v="104.910004"/>
        <n v="105.949997"/>
        <n v="105.120003"/>
        <n v="104.400002"/>
        <n v="106.269997"/>
        <n v="107.970001"/>
        <n v="107.660004"/>
        <n v="110.83000199999999"/>
        <n v="109.620003"/>
        <n v="107.68"/>
        <n v="105.370003"/>
        <n v="106.08000199999999"/>
        <n v="106.279999"/>
        <n v="107.57"/>
        <n v="108.040001"/>
        <n v="108.129997"/>
        <n v="108.879997"/>
        <n v="109.489998"/>
        <n v="109.66999800000001"/>
        <n v="109"/>
        <n v="108.209999"/>
        <n v="109.55999799999999"/>
        <n v="107.639999"/>
        <n v="107.58000199999999"/>
        <n v="106.870003"/>
        <n v="105.980003"/>
        <n v="107.05999799999999"/>
        <n v="107.55999799999999"/>
        <n v="108.400002"/>
        <n v="109.599998"/>
        <n v="110.260002"/>
        <n v="112.019997"/>
        <n v="111.949997"/>
        <n v="112.33000199999999"/>
        <n v="111.709999"/>
        <n v="108.489998"/>
        <n v="108.739998"/>
        <n v="109.379997"/>
        <n v="111.239998"/>
        <n v="112.910004"/>
        <n v="113.370003"/>
        <n v="112.139999"/>
        <n v="113.209999"/>
        <n v="111.699997"/>
        <n v="113.57"/>
        <n v="114.260002"/>
        <n v="114.66999800000001"/>
        <n v="114.449997"/>
        <n v="113.980003"/>
        <n v="114.410004"/>
        <n v="114.370003"/>
        <n v="115.610001"/>
        <n v="115.150002"/>
        <n v="115.16999800000001"/>
        <n v="112.790001"/>
        <n v="112.129997"/>
        <n v="110.849998"/>
        <n v="112.260002"/>
        <n v="106.160004"/>
        <n v="105.910004"/>
        <n v="109.57"/>
        <n v="107.599998"/>
        <n v="111"/>
        <n v="110.709999"/>
        <n v="108.5"/>
        <n v="108.660004"/>
        <n v="109.629997"/>
        <n v="108.099998"/>
        <n v="102.32"/>
        <n v="108.300003"/>
        <n v="106.959999"/>
        <n v="103.849998"/>
        <n v="103.730003"/>
        <n v="106.80999799999999"/>
        <n v="105.91999800000001"/>
        <n v="107.510002"/>
        <n v="107.720001"/>
        <n v="111.959999"/>
        <n v="111.75"/>
        <n v="106.94000200000001"/>
        <n v="104.970001"/>
        <n v="107.279999"/>
        <n v="108.290001"/>
        <n v="104.620003"/>
        <n v="101.709999"/>
        <n v="103.110001"/>
        <n v="103.07"/>
        <n v="106.470001"/>
        <n v="107.139999"/>
        <n v="111.120003"/>
        <n v="110.19000200000001"/>
        <n v="110.889999"/>
        <n v="112.089996"/>
        <n v="108.519997"/>
        <n v="109.19000200000001"/>
        <n v="104.82"/>
        <n v="107.589996"/>
        <n v="108.589996"/>
        <n v="109.08000199999999"/>
        <n v="109.449997"/>
        <n v="106.029999"/>
        <n v="102.889999"/>
        <n v="103.970001"/>
        <n v="103.69000200000001"/>
        <n v="101.510002"/>
        <n v="98.230002999999996"/>
        <n v="94.129997000000003"/>
        <n v="100.55999799999999"/>
        <n v="101.18"/>
        <n v="100.389999"/>
        <n v="101.57"/>
        <n v="101.120003"/>
        <n v="97.400002000000001"/>
        <n v="101.93"/>
        <n v="102.05999799999999"/>
        <n v="102.800003"/>
        <n v="104.269997"/>
        <n v="103.599998"/>
        <n v="102.050003"/>
        <n v="105.010002"/>
        <n v="105.379997"/>
        <n v="106.120003"/>
        <n v="107.709999"/>
        <n v="105.68"/>
        <n v="106.709999"/>
        <n v="106.199997"/>
        <n v="107.16999800000001"/>
        <n v="105.08000199999999"/>
        <n v="102.94000200000001"/>
        <n v="106.379997"/>
        <n v="104.43"/>
        <n v="102.779999"/>
        <n v="105.739998"/>
        <n v="107.220001"/>
        <n v="105.269997"/>
        <n v="105.66999800000001"/>
        <n v="105.25"/>
        <n v="106.889999"/>
        <n v="106.900002"/>
        <n v="108.220001"/>
        <n v="108.16999800000001"/>
        <n v="107.150002"/>
        <n v="109.410004"/>
        <n v="110.970001"/>
        <n v="111.589996"/>
        <n v="112.360001"/>
        <n v="112.16999800000001"/>
        <n v="112.029999"/>
        <n v="112.529999"/>
        <n v="110.389999"/>
        <n v="110.510002"/>
        <n v="112.83000199999999"/>
        <n v="113.620003"/>
        <n v="114.5"/>
        <n v="114.589996"/>
        <n v="115.910004"/>
        <n v="117.57"/>
        <n v="117.650002"/>
        <n v="117.519997"/>
        <n v="120.220001"/>
        <n v="117.050003"/>
        <n v="117.660004"/>
        <n v="117.910004"/>
        <n v="116.769997"/>
        <n v="116.93"/>
        <n v="117.94000200000001"/>
        <n v="119.019997"/>
        <n v="119.19000200000001"/>
        <n v="119.970001"/>
        <n v="119.360001"/>
        <n v="119.889999"/>
        <n v="119.93"/>
        <n v="119.279999"/>
        <n v="120.19000200000001"/>
        <n v="120.33000199999999"/>
        <n v="120.949997"/>
        <n v="121.050003"/>
        <n v="120.769997"/>
        <n v="121.769997"/>
        <n v="123.370003"/>
        <n v="123.760002"/>
        <n v="125.44000200000001"/>
        <n v="125.010002"/>
        <n v="129.14999399999999"/>
        <n v="129.88999899999999"/>
        <n v="129.770004"/>
        <n v="130.60000600000001"/>
        <n v="127.879997"/>
        <n v="126.209999"/>
        <n v="128.89999399999999"/>
        <n v="128.14999399999999"/>
        <n v="125.519997"/>
        <n v="125.510002"/>
        <n v="125.5"/>
        <n v="127.129997"/>
        <n v="123.349998"/>
        <n v="124.730003"/>
        <n v="126.019997"/>
        <n v="128.929993"/>
        <n v="128.070007"/>
        <n v="126.220001"/>
        <n v="126.900002"/>
        <n v="127.66999800000001"/>
        <n v="126.18"/>
        <n v="126.239998"/>
        <n v="126.160004"/>
        <n v="124.94000200000001"/>
        <n v="125.730003"/>
        <n v="123.68"/>
        <n v="119.839996"/>
        <n v="123.160004"/>
        <n v="125.83000199999999"/>
        <n v="127.82"/>
        <n v="131.39999399999999"/>
        <n v="132.60000600000001"/>
        <n v="132.10000600000001"/>
        <n v="131.490005"/>
        <n v="132.320007"/>
        <n v="132.449997"/>
        <n v="132.85000600000001"/>
        <n v="135.16000399999999"/>
        <n v="135.69000199999999"/>
        <n v="136.949997"/>
        <n v="136.970001"/>
        <n v="137.779999"/>
        <n v="133.429993"/>
        <n v="133.929993"/>
        <n v="134.14999399999999"/>
        <n v="133.96000699999999"/>
        <n v="135.679993"/>
        <n v="136.58000200000001"/>
        <n v="137.46000699999999"/>
        <n v="137.05999800000001"/>
        <n v="136.96000699999999"/>
        <n v="136.46000699999999"/>
        <n v="137.85000600000001"/>
        <n v="138.39999399999999"/>
        <n v="138.89999399999999"/>
        <n v="137.08000200000001"/>
        <n v="136.270004"/>
        <n v="136.41999799999999"/>
        <n v="136.61999499999999"/>
        <n v="138.429993"/>
        <n v="139.28999300000001"/>
        <n v="140.720001"/>
        <n v="140.19000199999999"/>
        <n v="141.33999600000001"/>
        <n v="141.029999"/>
        <n v="140.35000600000001"/>
        <n v="138.05999800000001"/>
        <n v="136.89999399999999"/>
        <n v="132.21000699999999"/>
        <n v="134.69000199999999"/>
        <n v="135.279999"/>
        <n v="138.88999899999999"/>
        <n v="137.71000699999999"/>
        <n v="135.78999300000001"/>
        <n v="138.60000600000001"/>
        <n v="133.979996"/>
        <n v="133.679993"/>
        <n v="136.13000500000001"/>
        <n v="138.41000399999999"/>
        <n v="137.259995"/>
        <n v="138.78999300000001"/>
        <n v="133.38999899999999"/>
        <n v="135.449997"/>
        <n v="135.740005"/>
        <n v="135.55999800000001"/>
        <n v="138.11999499999999"/>
        <n v="137.86000100000001"/>
        <n v="136.03999300000001"/>
        <n v="137.63000500000001"/>
        <n v="140.050003"/>
        <n v="139.10000600000001"/>
        <n v="137.520004"/>
        <n v="136.08000200000001"/>
        <n v="136.11999499999999"/>
        <n v="137.320007"/>
        <n v="136.33000200000001"/>
        <n v="137.38999899999999"/>
        <n v="138.520004"/>
        <n v="141.070007"/>
        <n v="139.44000199999999"/>
        <n v="139.13999899999999"/>
        <n v="137.38000500000001"/>
        <n v="139.36000100000001"/>
        <n v="139.53999300000001"/>
        <n v="137.729996"/>
        <n v="139.029999"/>
        <n v="137.070007"/>
        <n v="134.64999399999999"/>
        <n v="136.279999"/>
        <n v="137.11999499999999"/>
        <n v="135.66999799999999"/>
        <n v="138.240005"/>
        <n v="139.679993"/>
        <n v="139.550003"/>
        <n v="141.570007"/>
        <n v="140.41000399999999"/>
        <n v="139.69000199999999"/>
        <n v="137.41000399999999"/>
        <n v="136.36999499999999"/>
        <n v="137.240005"/>
        <n v="139.94000199999999"/>
        <n v="140.729996"/>
        <n v="144.19000199999999"/>
        <n v="142.83000200000001"/>
        <n v="144.61000100000001"/>
        <n v="143.36999499999999"/>
        <n v="143.720001"/>
        <n v="144.550003"/>
        <n v="144.46000699999999"/>
        <n v="144.05999800000001"/>
        <n v="144.259995"/>
        <n v="145.96000699999999"/>
        <n v="146.11000100000001"/>
        <n v="147.070007"/>
        <n v="147.30999800000001"/>
        <n v="148.05999800000001"/>
        <n v="149.970001"/>
        <n v="150.33999600000001"/>
        <n v="150.38999899999999"/>
        <n v="149.61999499999999"/>
        <n v="149.479996"/>
        <n v="149.58999600000001"/>
        <n v="151.229996"/>
        <n v="152.029999"/>
        <n v="152.320007"/>
        <n v="151.38000500000001"/>
        <n v="149.550003"/>
        <n v="149.30999800000001"/>
        <n v="149.85000600000001"/>
        <n v="149.929993"/>
        <n v="151.75"/>
        <n v="151.36000100000001"/>
        <n v="151.13000500000001"/>
        <n v="151.699997"/>
        <n v="153.240005"/>
        <n v="154.529999"/>
        <n v="155.529999"/>
        <n v="154.69000199999999"/>
        <n v="154.36999499999999"/>
        <n v="155.71000699999999"/>
        <n v="157.41000399999999"/>
        <n v="157.38000500000001"/>
        <n v="158.66999799999999"/>
        <n v="158.96000699999999"/>
        <n v="157.58999600000001"/>
        <n v="157.699997"/>
        <n v="160.61999499999999"/>
        <n v="158.61999499999999"/>
        <n v="159.029999"/>
        <n v="157.58000200000001"/>
        <n v="160.08999600000001"/>
        <n v="162.08999600000001"/>
        <n v="161.33999600000001"/>
        <n v="163.279999"/>
        <n v="162.13000500000001"/>
        <n v="163.179993"/>
        <n v="166.16999799999999"/>
        <n v="167.10000600000001"/>
        <n v="166.5"/>
        <n v="165.699997"/>
        <n v="166.720001"/>
        <n v="165.03999300000001"/>
        <n v="162.279999"/>
        <n v="165.46000699999999"/>
        <n v="168.03999300000001"/>
        <n v="172.779999"/>
        <n v="170.229996"/>
        <n v="174.38000500000001"/>
        <n v="180.11999499999999"/>
        <n v="179.89999399999999"/>
        <n v="183.63000500000001"/>
        <n v="183.88999899999999"/>
        <n v="188.699997"/>
        <n v="184.44000199999999"/>
        <n v="184.71000699999999"/>
        <n v="183.71000699999999"/>
        <n v="185.35000600000001"/>
        <n v="187.229996"/>
        <n v="187.279999"/>
        <n v="184.41999799999999"/>
        <n v="178.58999600000001"/>
        <n v="170.88999899999999"/>
        <n v="168.070007"/>
        <n v="170.16999799999999"/>
        <n v="158.179993"/>
        <n v="162.009995"/>
        <n v="172.78999300000001"/>
        <n v="164.509995"/>
        <n v="170.550003"/>
        <n v="166.270004"/>
        <n v="161.570007"/>
        <n v="150.61999499999999"/>
        <n v="160.91999799999999"/>
        <n v="153.63000500000001"/>
        <n v="139.05999800000001"/>
        <n v="158.83000200000001"/>
        <n v="135.41999799999999"/>
        <n v="146.570007"/>
        <n v="140.39999399999999"/>
        <n v="142.71000699999999"/>
        <n v="137.35000600000001"/>
        <n v="135.979996"/>
        <n v="148.33999600000001"/>
        <n v="146.91999799999999"/>
        <n v="156.11000100000001"/>
        <n v="149.699997"/>
        <n v="160.229996"/>
        <n v="157.71000699999999"/>
        <n v="152.11000100000001"/>
        <n v="155.259995"/>
        <n v="153.83000200000001"/>
        <n v="165.270004"/>
        <n v="163.490005"/>
        <n v="165.13000500000001"/>
        <n v="165.13999899999999"/>
        <n v="165.509995"/>
        <n v="173.699997"/>
        <n v="171.88000500000001"/>
        <n v="177.03999300000001"/>
        <n v="178.60000600000001"/>
        <n v="175.05999800000001"/>
        <n v="167.820007"/>
        <n v="173.520004"/>
        <n v="171.41999799999999"/>
        <n v="174.550003"/>
        <n v="174.050003"/>
        <n v="169.80999800000001"/>
        <n v="177.429993"/>
        <n v="179.21000699999999"/>
        <n v="174.570007"/>
        <n v="178.83999600000001"/>
        <n v="180.759995"/>
        <n v="182.53999300000001"/>
        <n v="183.60000600000001"/>
        <n v="184.679993"/>
        <n v="186.740005"/>
        <n v="182.509995"/>
        <n v="179.75"/>
        <n v="180.529999"/>
        <n v="183.16000399999999"/>
        <n v="184.91000399999999"/>
        <n v="185.66000399999999"/>
        <n v="183.429993"/>
        <n v="183.509995"/>
        <n v="181.570007"/>
        <n v="181.80999800000001"/>
        <n v="181.39999399999999"/>
        <n v="183.25"/>
        <n v="182.83000200000001"/>
        <n v="185.36000100000001"/>
        <n v="182.91999799999999"/>
        <n v="187.199997"/>
        <n v="188.36000100000001"/>
        <n v="189.800003"/>
        <n v="196.83999600000001"/>
        <n v="186.270004"/>
        <n v="187.740005"/>
        <n v="188.94000199999999"/>
        <n v="193.570007"/>
        <n v="194.240005"/>
        <n v="196.320007"/>
        <n v="195.14999399999999"/>
        <n v="200.570007"/>
        <n v="201.91000399999999"/>
        <n v="197.83999600000001"/>
        <n v="200.33999600000001"/>
        <n v="196.33000200000001"/>
        <n v="198.44000199999999"/>
        <n v="203.509995"/>
        <n v="204.699997"/>
        <n v="206.259995"/>
        <n v="210.699997"/>
        <n v="208.25"/>
        <n v="212.83000200000001"/>
        <n v="214.320007"/>
        <n v="213.66999799999999"/>
        <n v="207.070007"/>
        <n v="208.35000600000001"/>
        <n v="208.03999300000001"/>
        <n v="203.91999799999999"/>
        <n v="202.88000500000001"/>
        <n v="211.60000600000001"/>
        <n v="208.75"/>
        <n v="211.75"/>
        <n v="202.53999300000001"/>
        <n v="201.300003"/>
        <n v="203.85000600000001"/>
        <n v="202.020004"/>
        <n v="204.05999800000001"/>
        <n v="203.89999399999999"/>
        <n v="205.009995"/>
        <n v="216.53999300000001"/>
        <n v="213.28999300000001"/>
        <n v="212.94000199999999"/>
        <n v="216.35000600000001"/>
        <n v="212.479996"/>
        <n v="203.38000500000001"/>
        <n v="209.19000199999999"/>
        <n v="208.699997"/>
        <n v="208.89999399999999"/>
        <n v="210.279999"/>
        <n v="211.490005"/>
        <n v="209.699997"/>
        <n v="214.58000200000001"/>
        <n v="213.020004"/>
        <n v="213.69000199999999"/>
        <n v="216.470001"/>
        <n v="221.14999399999999"/>
        <n v="226.58000200000001"/>
        <n v="228.91000399999999"/>
        <n v="225.529999"/>
        <n v="227.270004"/>
        <n v="231.64999399999999"/>
        <n v="217.300003"/>
        <n v="214.25"/>
        <n v="202.66000399999999"/>
        <n v="211.28999300000001"/>
        <n v="205.36999499999999"/>
        <n v="204.029999"/>
        <n v="205.41000399999999"/>
        <n v="208.779999"/>
        <n v="205.050003"/>
        <n v="202.91000399999999"/>
        <n v="200.38999899999999"/>
        <n v="207.41999799999999"/>
        <n v="200.58999600000001"/>
        <n v="203.19000199999999"/>
        <n v="207.820007"/>
        <n v="209.44000199999999"/>
        <n v="207.259995"/>
        <n v="210.33000200000001"/>
        <n v="212.46000699999999"/>
        <n v="206.19000199999999"/>
        <n v="210.38000500000001"/>
        <n v="205.91000399999999"/>
        <n v="209.83000200000001"/>
        <n v="210.58000200000001"/>
        <n v="215.80999800000001"/>
        <n v="221.39999399999999"/>
        <n v="222.86000100000001"/>
        <n v="220.86000100000001"/>
        <n v="219.66000399999999"/>
        <n v="214.220001"/>
        <n v="214.64999399999999"/>
        <n v="214.800003"/>
        <n v="214.88999899999999"/>
        <n v="216.229996"/>
        <n v="210.08000200000001"/>
        <n v="213.25"/>
        <n v="202.679993"/>
        <n v="204.720001"/>
        <n v="202.470001"/>
        <n v="202.33000200000001"/>
        <n v="206.429993"/>
        <n v="216.38999899999999"/>
        <n v="223.28999300000001"/>
        <n v="223.720001"/>
        <n v="218.38999899999999"/>
        <n v="211.009995"/>
        <n v="216.550003"/>
        <n v="215.44000199999999"/>
        <n v="216.509995"/>
        <n v="217.229996"/>
        <n v="214.46000699999999"/>
        <n v="211.08000200000001"/>
        <n v="212.41999799999999"/>
        <n v="210.38999899999999"/>
        <n v="210.11000100000001"/>
        <n v="213.86000100000001"/>
        <n v="213.86999499999999"/>
        <n v="215.229996"/>
        <n v="214.070007"/>
        <n v="216.21000699999999"/>
        <n v="215.36999499999999"/>
        <n v="214.240005"/>
        <n v="214.36000100000001"/>
        <n v="214.28999300000001"/>
        <n v="216.009995"/>
        <n v="211.800003"/>
        <n v="210.520004"/>
        <n v="213.259995"/>
        <n v="214.199997"/>
        <n v="214.13000500000001"/>
        <n v="219.279999"/>
        <n v="219.41999799999999"/>
        <n v="218.58999600000001"/>
        <n v="222.58999600000001"/>
        <n v="223.94000199999999"/>
        <n v="221.020004"/>
        <n v="222.75"/>
        <n v="224.96000699999999"/>
        <n v="224.14999399999999"/>
        <n v="221.679993"/>
        <n v="222.41999799999999"/>
        <n v="217.69000199999999"/>
        <n v="217.89999399999999"/>
        <n v="212.25"/>
        <n v="218.28999300000001"/>
        <n v="219.61999499999999"/>
        <n v="217.490005"/>
        <n v="214.929993"/>
        <n v="216.33999600000001"/>
        <n v="212.64999399999999"/>
        <n v="216.44000199999999"/>
        <n v="224.33999600000001"/>
        <n v="224.970001"/>
        <n v="225.949997"/>
        <n v="229.529999"/>
        <n v="232.33000200000001"/>
        <n v="232.89999399999999"/>
        <n v="238.929993"/>
        <n v="231.96000699999999"/>
        <n v="239.64999399999999"/>
        <n v="239.509995"/>
        <n v="243"/>
        <n v="242.009995"/>
        <n v="242.199997"/>
        <n v="242.470001"/>
        <n v="243.770004"/>
        <n v="242.820007"/>
        <n v="244.490005"/>
        <n v="244.990005"/>
        <n v="243.699997"/>
        <n v="244.199997"/>
        <n v="243.78999300000001"/>
        <n v="240.970001"/>
        <n v="234.509995"/>
        <n v="233.270004"/>
        <n v="234.550003"/>
        <n v="228.990005"/>
        <n v="232.38000500000001"/>
        <n v="236.94000199999999"/>
        <n v="233.86999499999999"/>
        <n v="227.55999800000001"/>
        <n v="226.729996"/>
        <n v="231.60000600000001"/>
        <n v="227.38999899999999"/>
        <n v="233.779999"/>
        <n v="232.41999799999999"/>
        <n v="237.13000500000001"/>
        <n v="235.75"/>
        <n v="234.80999800000001"/>
        <n v="237.71000699999999"/>
        <n v="237.03999300000001"/>
        <n v="230.720001"/>
        <n v="230.35000600000001"/>
        <n v="235.990005"/>
        <n v="237.58000200000001"/>
        <n v="235.46000699999999"/>
        <n v="232.33999600000001"/>
        <n v="236.479996"/>
        <n v="235.240005"/>
        <n v="231.85000600000001"/>
        <n v="235.770004"/>
        <n v="242.35000600000001"/>
        <n v="249.070007"/>
        <n v="247.86000100000001"/>
        <n v="249.89999399999999"/>
        <n v="253.25"/>
        <n v="255.85000600000001"/>
        <n v="255.91000399999999"/>
        <n v="258.48998999999998"/>
        <n v="255.58999600000001"/>
        <n v="259.5"/>
        <n v="260.73998999999998"/>
        <n v="258.73998999999998"/>
        <n v="258.26001000000002"/>
        <n v="260.57998700000002"/>
        <n v="257.17001299999998"/>
        <n v="261.14999399999999"/>
        <n v="261.54998799999998"/>
        <n v="261.97000100000002"/>
        <n v="254.55999800000001"/>
        <n v="252.509995"/>
        <n v="252.179993"/>
        <n v="251.86000100000001"/>
        <n v="247.78999300000001"/>
        <n v="246.470001"/>
        <n v="249.729996"/>
        <n v="252.46000699999999"/>
        <n v="247.179993"/>
        <n v="246.229996"/>
        <n v="239"/>
        <n v="243.029999"/>
        <n v="248.14999399999999"/>
        <n v="245.179993"/>
        <n v="243.08000200000001"/>
        <n v="243.11999499999999"/>
        <n v="246.479996"/>
        <n v="245.16999799999999"/>
        <n v="250.779999"/>
        <n v="251.720001"/>
        <n v="251.490005"/>
        <n v="249.30999800000001"/>
        <n v="249.679993"/>
        <n v="247.39999399999999"/>
        <n v="247.300003"/>
        <n v="245.71000699999999"/>
        <n v="250.78999300000001"/>
        <n v="253.80999800000001"/>
        <n v="252.570007"/>
        <n v="253.58999600000001"/>
        <n v="257.23998999999998"/>
        <n v="257.89001500000001"/>
        <n v="259.89001500000001"/>
        <n v="258.35998499999999"/>
        <n v="257.38000499999998"/>
        <n v="260.89999399999999"/>
        <n v="259.42999300000002"/>
        <n v="262.63000499999998"/>
        <n v="265.51001000000002"/>
        <n v="265.26998900000001"/>
        <n v="266.69000199999999"/>
        <n v="265.01998900000001"/>
        <n v="268.72000100000002"/>
        <n v="271.39999399999999"/>
        <n v="270.89999399999999"/>
        <n v="271.60000600000001"/>
        <n v="277.64999399999999"/>
        <n v="277.66000400000001"/>
        <n v="279.92999300000002"/>
        <n v="277.42001299999998"/>
        <n v="277.94000199999999"/>
        <n v="277.32000699999998"/>
        <n v="280.98001099999999"/>
        <n v="282.51001000000002"/>
        <n v="281.02999899999998"/>
        <n v="280.75"/>
        <n v="277.01001000000002"/>
        <n v="279.32000699999998"/>
        <n v="281.39999399999999"/>
        <n v="286.14001500000001"/>
        <n v="289.67001299999998"/>
        <n v="289.04998799999998"/>
        <n v="286.540009"/>
        <n v="286.22000100000002"/>
        <n v="286.5"/>
        <n v="284.91000400000001"/>
        <n v="284.82000699999998"/>
        <n v="287.11999500000002"/>
        <n v="286.51001000000002"/>
        <n v="289.51998900000001"/>
        <n v="289.459991"/>
        <n v="288.32998700000002"/>
        <n v="286.44000199999999"/>
        <n v="286.95001200000002"/>
        <n v="289.80999800000001"/>
        <n v="292.85000600000001"/>
        <n v="294.60000600000001"/>
        <n v="293.07998700000002"/>
        <n v="290.73001099999999"/>
        <n v="296.76998900000001"/>
        <n v="304.35998499999999"/>
        <n v="304.64999399999999"/>
        <n v="302.61999500000002"/>
        <n v="302.01001000000002"/>
        <n v="299.08999599999999"/>
        <n v="299.72000100000002"/>
        <n v="303.58999599999999"/>
        <n v="301.88000499999998"/>
        <n v="301.82998700000002"/>
        <n v="301.14999399999999"/>
        <n v="301.14001500000001"/>
        <n v="300.17999300000002"/>
        <n v="300.209991"/>
        <n v="297.25"/>
        <n v="295.709991"/>
        <n v="296.98998999999998"/>
        <n v="299.790009"/>
        <n v="304.82000699999998"/>
        <n v="305.22000100000002"/>
        <n v="299.86999500000002"/>
        <n v="294.29998799999998"/>
        <n v="294.79998799999998"/>
        <n v="298.57998700000002"/>
        <n v="299.55999800000001"/>
        <n v="299.35000600000001"/>
        <n v="294.17001299999998"/>
        <n v="283.51998900000001"/>
        <n v="284"/>
        <n v="281.92001299999998"/>
        <n v="289.10000600000001"/>
        <n v="283.10998499999999"/>
        <n v="288.76001000000002"/>
        <n v="293.10998499999999"/>
        <n v="294.85000600000001"/>
        <n v="294.23001099999999"/>
        <n v="292.88000499999998"/>
        <n v="296.30999800000001"/>
        <n v="302.75"/>
        <n v="304.209991"/>
        <n v="307.290009"/>
        <n v="308.23001099999999"/>
        <n v="307.41000400000001"/>
        <n v="310.76001000000002"/>
        <n v="309.16000400000001"/>
        <n v="308.13000499999998"/>
        <n v="310.10998499999999"/>
        <n v="323.17001299999998"/>
        <n v="324.35000600000001"/>
        <n v="331.61999500000002"/>
        <n v="329.36999500000002"/>
        <n v="333.13000499999998"/>
        <n v="334"/>
        <n v="336.44000199999999"/>
        <n v="336.05999800000001"/>
        <n v="336.98998999999998"/>
        <n v="335.95001200000002"/>
        <n v="330.79998799999998"/>
        <n v="332.42999300000002"/>
        <n v="336.72000100000002"/>
        <n v="336.07000699999998"/>
        <n v="339.51001000000002"/>
        <n v="339.11999500000002"/>
        <n v="341.26998900000001"/>
        <n v="343.10998499999999"/>
        <n v="339.82998700000002"/>
        <n v="337.67999300000002"/>
        <n v="337.91000400000001"/>
        <n v="329.67999300000002"/>
        <n v="336.63000499999998"/>
        <n v="330.58999599999999"/>
        <n v="330.07998700000002"/>
        <n v="329.48998999999998"/>
        <n v="323.01001000000002"/>
        <n v="326.19000199999999"/>
        <n v="334.92001299999998"/>
        <n v="334.97000100000002"/>
        <n v="333.10000600000001"/>
        <n v="342.540009"/>
        <n v="339.39999399999999"/>
        <n v="328.33999599999999"/>
        <n v="334.64999399999999"/>
        <n v="324.89999399999999"/>
        <n v="323.79998799999998"/>
        <n v="319.91000400000001"/>
        <n v="327.290009"/>
        <n v="333.20001200000002"/>
        <n v="334.69000199999999"/>
        <n v="342.45001200000002"/>
        <n v="341.25"/>
        <n v="341.95001200000002"/>
        <n v="339.32000699999998"/>
        <n v="336.32000699999998"/>
        <n v="334.75"/>
        <n v="329.01001000000002"/>
        <n v="316.38000499999998"/>
        <n v="313.88000499999998"/>
        <n v="314.040009"/>
        <n v="314.26998900000001"/>
        <n v="314.98001099999999"/>
        <n v="318.26998900000001"/>
        <n v="304.79998799999998"/>
        <n v="310.20001200000002"/>
        <n v="302.64999399999999"/>
        <n v="303.32998700000002"/>
        <n v="301.60000600000001"/>
        <n v="296.02999899999998"/>
        <n v="296.36999500000002"/>
        <n v="288.48998999999998"/>
        <n v="296.709991"/>
        <n v="299.83999599999999"/>
        <n v="308.26001000000002"/>
        <n v="310.98001099999999"/>
        <n v="308.76001000000002"/>
        <n v="313.459991"/>
        <n v="301.25"/>
        <n v="305.94000199999999"/>
        <n v="300.95001200000002"/>
        <n v="304.55999800000001"/>
        <n v="311.209991"/>
        <n v="302.38000499999998"/>
        <n v="295.040009"/>
        <n v="295"/>
        <n v="300.47000100000002"/>
        <n v="299.5"/>
        <n v="287.92999300000002"/>
        <n v="287.72000100000002"/>
        <n v="280.26998900000001"/>
        <n v="294.58999599999999"/>
        <n v="297.30999800000001"/>
        <n v="298.790009"/>
        <n v="294.95001200000002"/>
        <n v="300.19000199999999"/>
        <n v="295.92001299999998"/>
        <n v="289.85998499999999"/>
        <n v="278.91000400000001"/>
        <n v="275.85000600000001"/>
        <n v="288.5"/>
        <n v="285.58999599999999"/>
        <n v="280.07000699999998"/>
        <n v="276.44000199999999"/>
        <n v="287.14999399999999"/>
        <n v="294.39001500000001"/>
        <n v="295.22000100000002"/>
        <n v="300.42999300000002"/>
        <n v="299.16000400000001"/>
        <n v="304.05999800000001"/>
        <n v="299.48998999999998"/>
        <n v="304.10000600000001"/>
        <n v="303.67999300000002"/>
        <n v="310.70001200000002"/>
        <n v="315.41000400000001"/>
        <n v="313.85998499999999"/>
        <n v="308.30999800000001"/>
        <n v="309.42001299999998"/>
        <n v="314.97000100000002"/>
        <n v="310.88000499999998"/>
        <n v="301.36999500000002"/>
        <n v="296.97000100000002"/>
        <n v="285.26001000000002"/>
        <n v="282.05999800000001"/>
        <n v="287.61999500000002"/>
        <n v="279.82998700000002"/>
      </sharedItems>
    </cacheField>
    <cacheField name="Adj Close" numFmtId="0">
      <sharedItems containsSemiMixedTypes="0" containsString="0" containsNumber="1" minValue="5.6876999999999997E-2" maxValue="342.40200800000002"/>
    </cacheField>
    <cacheField name="Volume" numFmtId="0">
      <sharedItems containsSemiMixedTypes="0" containsString="0" containsNumber="1" containsInteger="1" minValue="2304000" maxValue="1031788800"/>
    </cacheField>
    <cacheField name="Quarters" numFmtId="0" databaseField="0">
      <fieldGroup base="0">
        <rangePr groupBy="quarters" startDate="1986-03-13T00:00:00" endDate="2022-04-15T00:00:00"/>
        <groupItems count="6">
          <s v="&lt;1986-03-13"/>
          <s v="Qtr1"/>
          <s v="Qtr2"/>
          <s v="Qtr3"/>
          <s v="Qtr4"/>
          <s v="&gt;2022-04-15"/>
        </groupItems>
      </fieldGroup>
    </cacheField>
    <cacheField name="Years" numFmtId="0" databaseField="0">
      <fieldGroup base="0">
        <rangePr groupBy="years" startDate="1986-03-13T00:00:00" endDate="2022-04-15T00:00:00"/>
        <groupItems count="39">
          <s v="&lt;1986-03-13"/>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gt;2022-04-1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rves Mohammed" refreshedDate="44671.479746296296" createdVersion="6" refreshedVersion="6" minRefreshableVersion="3" recordCount="124" xr:uid="{692BCF52-989E-42E1-878C-6D039A22E50D}">
  <cacheSource type="worksheet">
    <worksheetSource ref="A1:G125" sheet="monthly"/>
  </cacheSource>
  <cacheFields count="9">
    <cacheField name="Date" numFmtId="14">
      <sharedItems containsSemiMixedTypes="0" containsNonDate="0" containsDate="1" containsString="0" minDate="2012-01-01T00:00:00" maxDate="2022-04-02T00:00:00" count="124">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d v="2014-01-01T00:00:00"/>
        <d v="2014-02-01T00:00:00"/>
        <d v="2014-03-01T00:00:00"/>
        <d v="2014-04-01T00:00:00"/>
        <d v="2014-05-01T00:00:00"/>
        <d v="2014-06-01T00:00:00"/>
        <d v="2014-07-01T00:00:00"/>
        <d v="2014-08-01T00:00:00"/>
        <d v="2014-09-01T00:00:00"/>
        <d v="2014-10-01T00:00:00"/>
        <d v="2014-11-01T00:00:00"/>
        <d v="2014-12-01T00:00:0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sharedItems>
      <fieldGroup par="8" base="0">
        <rangePr groupBy="months" startDate="2012-01-01T00:00:00" endDate="2022-04-02T00:00:00"/>
        <groupItems count="14">
          <s v="&lt;2012-01-01"/>
          <s v="Jan"/>
          <s v="Feb"/>
          <s v="Mar"/>
          <s v="Apr"/>
          <s v="May"/>
          <s v="Jun"/>
          <s v="Jul"/>
          <s v="Aug"/>
          <s v="Sep"/>
          <s v="Oct"/>
          <s v="Nov"/>
          <s v="Dec"/>
          <s v="&gt;2022-04-02"/>
        </groupItems>
      </fieldGroup>
    </cacheField>
    <cacheField name="Open" numFmtId="0">
      <sharedItems containsSemiMixedTypes="0" containsString="0" containsNumber="1" minValue="7.8" maxValue="689.05999799999995"/>
    </cacheField>
    <cacheField name="High" numFmtId="0">
      <sharedItems containsSemiMixedTypes="0" containsString="0" containsNumber="1" minValue="8.774286" maxValue="700.98999000000003"/>
    </cacheField>
    <cacheField name="Low" numFmtId="0">
      <sharedItems containsSemiMixedTypes="0" containsString="0" containsNumber="1" minValue="7.5442859999999996" maxValue="640.01000999999997"/>
    </cacheField>
    <cacheField name="Close" numFmtId="0">
      <sharedItems containsSemiMixedTypes="0" containsString="0" containsNumber="1" minValue="7.7771429999999997" maxValue="690.30999799999995"/>
    </cacheField>
    <cacheField name="Adj Close" numFmtId="0">
      <sharedItems containsSemiMixedTypes="0" containsString="0" containsNumber="1" minValue="7.7771429999999997" maxValue="690.30999799999995"/>
    </cacheField>
    <cacheField name="Volume" numFmtId="0">
      <sharedItems containsSemiMixedTypes="0" containsString="0" containsNumber="1" containsInteger="1" minValue="54747700" maxValue="1829322600"/>
    </cacheField>
    <cacheField name="Quarters" numFmtId="0" databaseField="0">
      <fieldGroup base="0">
        <rangePr groupBy="quarters" startDate="2012-01-01T00:00:00" endDate="2022-04-02T00:00:00"/>
        <groupItems count="6">
          <s v="&lt;2012-01-01"/>
          <s v="Qtr1"/>
          <s v="Qtr2"/>
          <s v="Qtr3"/>
          <s v="Qtr4"/>
          <s v="&gt;2022-04-02"/>
        </groupItems>
      </fieldGroup>
    </cacheField>
    <cacheField name="Years" numFmtId="0" databaseField="0">
      <fieldGroup base="0">
        <rangePr groupBy="years" startDate="2012-01-01T00:00:00" endDate="2022-04-02T00:00:00"/>
        <groupItems count="13">
          <s v="&lt;2012-01-01"/>
          <s v="2012"/>
          <s v="2013"/>
          <s v="2014"/>
          <s v="2015"/>
          <s v="2016"/>
          <s v="2017"/>
          <s v="2018"/>
          <s v="2019"/>
          <s v="2020"/>
          <s v="2021"/>
          <s v="2022"/>
          <s v="&gt;2022-04-0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098">
  <r>
    <x v="0"/>
    <n v="8.8541999999999996E-2"/>
    <n v="0.101563"/>
    <n v="8.8541999999999996E-2"/>
    <x v="0"/>
    <n v="6.1252000000000001E-2"/>
    <n v="1031788800"/>
  </r>
  <r>
    <x v="1"/>
    <n v="9.7222000000000003E-2"/>
    <n v="0.10243099999999999"/>
    <n v="9.7222000000000003E-2"/>
    <x v="1"/>
    <n v="6.3438999999999995E-2"/>
    <n v="308160000"/>
  </r>
  <r>
    <x v="2"/>
    <n v="0.10069400000000001"/>
    <n v="0.103299"/>
    <n v="0.10069400000000001"/>
    <x v="2"/>
    <n v="6.4532999999999993E-2"/>
    <n v="133171200"/>
  </r>
  <r>
    <x v="3"/>
    <n v="0.10243099999999999"/>
    <n v="0.103299"/>
    <n v="9.8958000000000004E-2"/>
    <x v="3"/>
    <n v="6.2892000000000003E-2"/>
    <n v="67766400"/>
  </r>
  <r>
    <x v="4"/>
    <n v="9.9825999999999998E-2"/>
    <n v="0.10069400000000001"/>
    <n v="9.7222000000000003E-2"/>
    <x v="4"/>
    <n v="6.1799E-2"/>
    <n v="47894400"/>
  </r>
  <r>
    <x v="5"/>
    <n v="9.8089999999999997E-2"/>
    <n v="9.8089999999999997E-2"/>
    <n v="9.4617999999999994E-2"/>
    <x v="5"/>
    <n v="6.0158000000000003E-2"/>
    <n v="58435200"/>
  </r>
  <r>
    <x v="6"/>
    <n v="9.5486000000000001E-2"/>
    <n v="9.7222000000000003E-2"/>
    <n v="9.1146000000000005E-2"/>
    <x v="6"/>
    <n v="5.8517E-2"/>
    <n v="59990400"/>
  </r>
  <r>
    <x v="7"/>
    <n v="9.2882000000000006E-2"/>
    <n v="9.2882000000000006E-2"/>
    <n v="8.9410000000000003E-2"/>
    <x v="7"/>
    <n v="5.6876999999999997E-2"/>
    <n v="65289600"/>
  </r>
  <r>
    <x v="8"/>
    <n v="9.0277999999999997E-2"/>
    <n v="9.2013999999999999E-2"/>
    <n v="8.9410000000000003E-2"/>
    <x v="8"/>
    <n v="5.7971000000000002E-2"/>
    <n v="32083200"/>
  </r>
  <r>
    <x v="9"/>
    <n v="9.2013999999999999E-2"/>
    <n v="9.5486000000000001E-2"/>
    <n v="9.1146000000000005E-2"/>
    <x v="9"/>
    <n v="5.9610999999999997E-2"/>
    <n v="22752000"/>
  </r>
  <r>
    <x v="10"/>
    <n v="9.4617999999999994E-2"/>
    <n v="9.6353999999999995E-2"/>
    <n v="9.4617999999999994E-2"/>
    <x v="10"/>
    <n v="6.0705000000000002E-2"/>
    <n v="16848000"/>
  </r>
  <r>
    <x v="11"/>
    <n v="9.6353999999999995E-2"/>
    <n v="9.6353999999999995E-2"/>
    <n v="9.375E-2"/>
    <x v="5"/>
    <n v="6.0158000000000003E-2"/>
    <n v="12873600"/>
  </r>
  <r>
    <x v="12"/>
    <n v="9.5486000000000001E-2"/>
    <n v="9.5486000000000001E-2"/>
    <n v="9.4617999999999994E-2"/>
    <x v="9"/>
    <n v="5.9610999999999997E-2"/>
    <n v="11088000"/>
  </r>
  <r>
    <x v="13"/>
    <n v="9.4617999999999994E-2"/>
    <n v="9.7222000000000003E-2"/>
    <n v="9.4617999999999994E-2"/>
    <x v="5"/>
    <n v="6.0158000000000003E-2"/>
    <n v="27014400"/>
  </r>
  <r>
    <x v="14"/>
    <n v="9.6353999999999995E-2"/>
    <n v="9.8958000000000004E-2"/>
    <n v="9.6353999999999995E-2"/>
    <x v="10"/>
    <n v="6.0705000000000002E-2"/>
    <n v="23040000"/>
  </r>
  <r>
    <x v="15"/>
    <n v="9.6353999999999995E-2"/>
    <n v="9.7222000000000003E-2"/>
    <n v="9.6353999999999995E-2"/>
    <x v="10"/>
    <n v="6.0705000000000002E-2"/>
    <n v="26582400"/>
  </r>
  <r>
    <x v="16"/>
    <n v="9.6353999999999995E-2"/>
    <n v="9.7222000000000003E-2"/>
    <n v="9.2882000000000006E-2"/>
    <x v="9"/>
    <n v="5.9610999999999997E-2"/>
    <n v="16560000"/>
  </r>
  <r>
    <x v="17"/>
    <n v="9.4617999999999994E-2"/>
    <n v="9.7222000000000003E-2"/>
    <n v="9.4617999999999994E-2"/>
    <x v="5"/>
    <n v="6.0158000000000003E-2"/>
    <n v="10252800"/>
  </r>
  <r>
    <x v="18"/>
    <n v="9.5486000000000001E-2"/>
    <n v="9.8089999999999997E-2"/>
    <n v="9.5486000000000001E-2"/>
    <x v="0"/>
    <n v="6.1252000000000001E-2"/>
    <n v="12153600"/>
  </r>
  <r>
    <x v="19"/>
    <n v="9.7222000000000003E-2"/>
    <n v="9.8958000000000004E-2"/>
    <n v="9.5486000000000001E-2"/>
    <x v="4"/>
    <n v="6.1799E-2"/>
    <n v="13881600"/>
  </r>
  <r>
    <x v="20"/>
    <n v="9.8958000000000004E-2"/>
    <n v="0.101563"/>
    <n v="9.8958000000000004E-2"/>
    <x v="3"/>
    <n v="6.2892000000000003E-2"/>
    <n v="17222400"/>
  </r>
  <r>
    <x v="21"/>
    <n v="9.9825999999999998E-2"/>
    <n v="0.101563"/>
    <n v="9.9825999999999998E-2"/>
    <x v="1"/>
    <n v="6.3438999999999995E-2"/>
    <n v="12153600"/>
  </r>
  <r>
    <x v="22"/>
    <n v="0.10069400000000001"/>
    <n v="0.10069400000000001"/>
    <n v="9.7222000000000003E-2"/>
    <x v="1"/>
    <n v="6.3438999999999995E-2"/>
    <n v="9302400"/>
  </r>
  <r>
    <x v="23"/>
    <n v="0.10069400000000001"/>
    <n v="0.105035"/>
    <n v="9.9825999999999998E-2"/>
    <x v="11"/>
    <n v="6.5627000000000005E-2"/>
    <n v="31910400"/>
  </r>
  <r>
    <x v="24"/>
    <n v="0.104167"/>
    <n v="0.105035"/>
    <n v="0.104167"/>
    <x v="12"/>
    <n v="6.6173999999999997E-2"/>
    <n v="22003200"/>
  </r>
  <r>
    <x v="25"/>
    <n v="0.105035"/>
    <n v="0.105035"/>
    <n v="0.10069400000000001"/>
    <x v="13"/>
    <n v="6.3987000000000002E-2"/>
    <n v="21628800"/>
  </r>
  <r>
    <x v="26"/>
    <n v="0.101563"/>
    <n v="0.10243099999999999"/>
    <n v="9.8958000000000004E-2"/>
    <x v="13"/>
    <n v="6.3987000000000002E-2"/>
    <n v="22924800"/>
  </r>
  <r>
    <x v="27"/>
    <n v="0.101563"/>
    <n v="0.101563"/>
    <n v="9.9825999999999998E-2"/>
    <x v="3"/>
    <n v="6.2892000000000003E-2"/>
    <n v="15552000"/>
  </r>
  <r>
    <x v="28"/>
    <n v="9.9825999999999998E-2"/>
    <n v="0.10069400000000001"/>
    <n v="9.8958000000000004E-2"/>
    <x v="14"/>
    <n v="6.3166E-2"/>
    <n v="15609600"/>
  </r>
  <r>
    <x v="29"/>
    <n v="0.10026"/>
    <n v="0.111979"/>
    <n v="9.9825999999999998E-2"/>
    <x v="15"/>
    <n v="6.9455000000000003E-2"/>
    <n v="62352000"/>
  </r>
  <r>
    <x v="30"/>
    <n v="0.111111"/>
    <n v="0.121962"/>
    <n v="0.111111"/>
    <x v="16"/>
    <n v="7.3830999999999994E-2"/>
    <n v="85795200"/>
  </r>
  <r>
    <x v="31"/>
    <n v="0.117188"/>
    <n v="0.118924"/>
    <n v="0.11631900000000001"/>
    <x v="17"/>
    <n v="7.4378E-2"/>
    <n v="28886400"/>
  </r>
  <r>
    <x v="32"/>
    <n v="0.11805599999999999"/>
    <n v="0.11805599999999999"/>
    <n v="0.113715"/>
    <x v="18"/>
    <n v="7.2189000000000003E-2"/>
    <n v="30326400"/>
  </r>
  <r>
    <x v="33"/>
    <n v="0.114583"/>
    <n v="0.115451"/>
    <n v="0.109375"/>
    <x v="19"/>
    <n v="7.0549000000000001E-2"/>
    <n v="30902400"/>
  </r>
  <r>
    <x v="34"/>
    <n v="0.111979"/>
    <n v="0.111979"/>
    <n v="0.10850700000000001"/>
    <x v="15"/>
    <n v="6.9455000000000003E-2"/>
    <n v="54345600"/>
  </r>
  <r>
    <x v="35"/>
    <n v="0.11024299999999999"/>
    <n v="0.111979"/>
    <n v="0.109375"/>
    <x v="15"/>
    <n v="6.9455000000000003E-2"/>
    <n v="20246400"/>
  </r>
  <r>
    <x v="36"/>
    <n v="0.11024299999999999"/>
    <n v="0.11024299999999999"/>
    <n v="0.109375"/>
    <x v="20"/>
    <n v="6.8907999999999997E-2"/>
    <n v="3254400"/>
  </r>
  <r>
    <x v="37"/>
    <n v="0.11024299999999999"/>
    <n v="0.111979"/>
    <n v="0.11024299999999999"/>
    <x v="15"/>
    <n v="6.9455000000000003E-2"/>
    <n v="9734400"/>
  </r>
  <r>
    <x v="38"/>
    <n v="0.11024299999999999"/>
    <n v="0.111111"/>
    <n v="0.10850700000000001"/>
    <x v="15"/>
    <n v="6.9455000000000003E-2"/>
    <n v="5155200"/>
  </r>
  <r>
    <x v="39"/>
    <n v="0.11024299999999999"/>
    <n v="0.111111"/>
    <n v="0.109375"/>
    <x v="21"/>
    <n v="7.0001999999999995E-2"/>
    <n v="3542400"/>
  </r>
  <r>
    <x v="40"/>
    <n v="0.111111"/>
    <n v="0.111111"/>
    <n v="0.11024299999999999"/>
    <x v="15"/>
    <n v="6.9455000000000003E-2"/>
    <n v="6076800"/>
  </r>
  <r>
    <x v="41"/>
    <n v="0.11024299999999999"/>
    <n v="0.113715"/>
    <n v="0.11024299999999999"/>
    <x v="21"/>
    <n v="7.0001999999999995E-2"/>
    <n v="10483200"/>
  </r>
  <r>
    <x v="42"/>
    <n v="0.111111"/>
    <n v="0.112847"/>
    <n v="0.111111"/>
    <x v="19"/>
    <n v="7.0549000000000001E-2"/>
    <n v="3830400"/>
  </r>
  <r>
    <x v="43"/>
    <n v="0.111979"/>
    <n v="0.111979"/>
    <n v="0.111111"/>
    <x v="21"/>
    <n v="7.0001999999999995E-2"/>
    <n v="9302400"/>
  </r>
  <r>
    <x v="44"/>
    <n v="0.111111"/>
    <n v="0.112847"/>
    <n v="0.111111"/>
    <x v="21"/>
    <n v="7.0001999999999995E-2"/>
    <n v="3801600"/>
  </r>
  <r>
    <x v="45"/>
    <n v="0.111111"/>
    <n v="0.114583"/>
    <n v="0.111111"/>
    <x v="19"/>
    <n v="7.0549000000000001E-2"/>
    <n v="11952000"/>
  </r>
  <r>
    <x v="46"/>
    <n v="0.111979"/>
    <n v="0.111979"/>
    <n v="0.109375"/>
    <x v="15"/>
    <n v="6.9455000000000003E-2"/>
    <n v="11001600"/>
  </r>
  <r>
    <x v="47"/>
    <n v="0.11024299999999999"/>
    <n v="0.11024299999999999"/>
    <n v="0.10850700000000001"/>
    <x v="20"/>
    <n v="6.8907999999999997E-2"/>
    <n v="61977600"/>
  </r>
  <r>
    <x v="48"/>
    <n v="0.109375"/>
    <n v="0.11024299999999999"/>
    <n v="0.107639"/>
    <x v="22"/>
    <n v="6.7815E-2"/>
    <n v="8092800"/>
  </r>
  <r>
    <x v="49"/>
    <n v="0.107639"/>
    <n v="0.10850700000000001"/>
    <n v="0.107639"/>
    <x v="22"/>
    <n v="6.7815E-2"/>
    <n v="4406400"/>
  </r>
  <r>
    <x v="50"/>
    <n v="0.107639"/>
    <n v="0.109375"/>
    <n v="0.107639"/>
    <x v="22"/>
    <n v="6.7815E-2"/>
    <n v="4089600"/>
  </r>
  <r>
    <x v="51"/>
    <n v="0.107639"/>
    <n v="0.111111"/>
    <n v="0.107639"/>
    <x v="21"/>
    <n v="7.0001999999999995E-2"/>
    <n v="13881600"/>
  </r>
  <r>
    <x v="52"/>
    <n v="0.111111"/>
    <n v="0.114583"/>
    <n v="0.111111"/>
    <x v="18"/>
    <n v="7.2189000000000003E-2"/>
    <n v="15523200"/>
  </r>
  <r>
    <x v="53"/>
    <n v="0.114583"/>
    <n v="0.118924"/>
    <n v="0.113715"/>
    <x v="16"/>
    <n v="7.3830999999999994E-2"/>
    <n v="45676800"/>
  </r>
  <r>
    <x v="54"/>
    <n v="0.11805599999999999"/>
    <n v="0.123264"/>
    <n v="0.11805599999999999"/>
    <x v="23"/>
    <n v="7.6564999999999994E-2"/>
    <n v="27072000"/>
  </r>
  <r>
    <x v="55"/>
    <n v="0.121528"/>
    <n v="0.121528"/>
    <n v="0.11805599999999999"/>
    <x v="17"/>
    <n v="7.4378E-2"/>
    <n v="19728000"/>
  </r>
  <r>
    <x v="56"/>
    <n v="0.11805599999999999"/>
    <n v="0.11805599999999999"/>
    <n v="0.11631900000000001"/>
    <x v="17"/>
    <n v="7.4378E-2"/>
    <n v="5011200"/>
  </r>
  <r>
    <x v="57"/>
    <n v="0.11805599999999999"/>
    <n v="0.118924"/>
    <n v="0.11631900000000001"/>
    <x v="16"/>
    <n v="7.3830999999999994E-2"/>
    <n v="4723200"/>
  </r>
  <r>
    <x v="58"/>
    <n v="0.117188"/>
    <n v="0.118924"/>
    <n v="0.11631900000000001"/>
    <x v="24"/>
    <n v="7.4924000000000004E-2"/>
    <n v="13708800"/>
  </r>
  <r>
    <x v="59"/>
    <n v="0.118924"/>
    <n v="0.118924"/>
    <n v="0.117188"/>
    <x v="24"/>
    <n v="7.4924000000000004E-2"/>
    <n v="3427200"/>
  </r>
  <r>
    <x v="60"/>
    <n v="0.118924"/>
    <n v="0.118924"/>
    <n v="0.113715"/>
    <x v="25"/>
    <n v="7.1642999999999998E-2"/>
    <n v="12672000"/>
  </r>
  <r>
    <x v="61"/>
    <n v="0.113715"/>
    <n v="0.113715"/>
    <n v="0.111979"/>
    <x v="25"/>
    <n v="7.1642999999999998E-2"/>
    <n v="3427200"/>
  </r>
  <r>
    <x v="62"/>
    <n v="0.113715"/>
    <n v="0.113715"/>
    <n v="0.111979"/>
    <x v="25"/>
    <n v="7.1642999999999998E-2"/>
    <n v="2304000"/>
  </r>
  <r>
    <x v="63"/>
    <n v="0.113715"/>
    <n v="0.113715"/>
    <n v="0.10850700000000001"/>
    <x v="20"/>
    <n v="6.8907999999999997E-2"/>
    <n v="13708800"/>
  </r>
  <r>
    <x v="64"/>
    <n v="0.109375"/>
    <n v="0.11024299999999999"/>
    <n v="0.10850700000000001"/>
    <x v="20"/>
    <n v="6.8907999999999997E-2"/>
    <n v="7891200"/>
  </r>
  <r>
    <x v="65"/>
    <n v="0.109375"/>
    <n v="0.11024299999999999"/>
    <n v="0.107639"/>
    <x v="26"/>
    <n v="6.8361000000000005E-2"/>
    <n v="9590400"/>
  </r>
  <r>
    <x v="66"/>
    <n v="0.109375"/>
    <n v="0.111979"/>
    <n v="0.109375"/>
    <x v="15"/>
    <n v="6.9455000000000003E-2"/>
    <n v="13075200"/>
  </r>
  <r>
    <x v="67"/>
    <n v="0.11024299999999999"/>
    <n v="0.11024299999999999"/>
    <n v="0.107639"/>
    <x v="20"/>
    <n v="6.8907999999999997E-2"/>
    <n v="4348800"/>
  </r>
  <r>
    <x v="68"/>
    <n v="0.109375"/>
    <n v="0.11024299999999999"/>
    <n v="0.107639"/>
    <x v="26"/>
    <n v="6.8361000000000005E-2"/>
    <n v="8467200"/>
  </r>
  <r>
    <x v="69"/>
    <n v="0.10850700000000001"/>
    <n v="0.109375"/>
    <n v="0.10850700000000001"/>
    <x v="27"/>
    <n v="6.8635000000000002E-2"/>
    <n v="3801600"/>
  </r>
  <r>
    <x v="70"/>
    <n v="0.108941"/>
    <n v="0.11024299999999999"/>
    <n v="0.106771"/>
    <x v="15"/>
    <n v="6.9455000000000003E-2"/>
    <n v="46195200"/>
  </r>
  <r>
    <x v="71"/>
    <n v="0.11024299999999999"/>
    <n v="0.111111"/>
    <n v="0.10850700000000001"/>
    <x v="20"/>
    <n v="6.8907999999999997E-2"/>
    <n v="14572800"/>
  </r>
  <r>
    <x v="72"/>
    <n v="0.109375"/>
    <n v="0.11024299999999999"/>
    <n v="0.107639"/>
    <x v="22"/>
    <n v="6.7815E-2"/>
    <n v="15235200"/>
  </r>
  <r>
    <x v="73"/>
    <n v="0.107639"/>
    <n v="0.10850700000000001"/>
    <n v="0.104167"/>
    <x v="11"/>
    <n v="6.5627000000000005E-2"/>
    <n v="19152000"/>
  </r>
  <r>
    <x v="74"/>
    <n v="0.104167"/>
    <n v="0.105035"/>
    <n v="0.10243099999999999"/>
    <x v="28"/>
    <n v="6.5079999999999999E-2"/>
    <n v="10396800"/>
  </r>
  <r>
    <x v="75"/>
    <n v="0.103299"/>
    <n v="0.109375"/>
    <n v="0.10243099999999999"/>
    <x v="29"/>
    <n v="6.7267999999999994E-2"/>
    <n v="62352000"/>
  </r>
  <r>
    <x v="76"/>
    <n v="0.106771"/>
    <n v="0.106771"/>
    <n v="0.105903"/>
    <x v="29"/>
    <n v="6.7267999999999994E-2"/>
    <n v="47577600"/>
  </r>
  <r>
    <x v="77"/>
    <n v="0.106771"/>
    <n v="0.106771"/>
    <n v="0.105903"/>
    <x v="29"/>
    <n v="6.7267999999999994E-2"/>
    <n v="52617600"/>
  </r>
  <r>
    <x v="78"/>
    <n v="0.107639"/>
    <n v="0.109375"/>
    <n v="0.107639"/>
    <x v="26"/>
    <n v="6.8361000000000005E-2"/>
    <n v="14140800"/>
  </r>
  <r>
    <x v="79"/>
    <n v="0.10850700000000001"/>
    <n v="0.10850700000000001"/>
    <n v="0.104167"/>
    <x v="11"/>
    <n v="6.5627000000000005E-2"/>
    <n v="14054400"/>
  </r>
  <r>
    <x v="80"/>
    <n v="0.104167"/>
    <n v="0.104167"/>
    <n v="0.10069400000000001"/>
    <x v="13"/>
    <n v="6.3987000000000002E-2"/>
    <n v="14256000"/>
  </r>
  <r>
    <x v="81"/>
    <n v="0.101563"/>
    <n v="0.101563"/>
    <n v="9.6353999999999995E-2"/>
    <x v="0"/>
    <n v="6.1252000000000001E-2"/>
    <n v="46137600"/>
  </r>
  <r>
    <x v="82"/>
    <n v="9.7222000000000003E-2"/>
    <n v="9.8089999999999997E-2"/>
    <n v="9.0277999999999997E-2"/>
    <x v="9"/>
    <n v="5.9610999999999997E-2"/>
    <n v="46886400"/>
  </r>
  <r>
    <x v="83"/>
    <n v="9.4617999999999994E-2"/>
    <n v="9.8958000000000004E-2"/>
    <n v="9.4617999999999994E-2"/>
    <x v="0"/>
    <n v="6.1252000000000001E-2"/>
    <n v="17395200"/>
  </r>
  <r>
    <x v="84"/>
    <n v="9.4617999999999994E-2"/>
    <n v="9.8089999999999997E-2"/>
    <n v="9.4617999999999994E-2"/>
    <x v="30"/>
    <n v="6.0430999999999999E-2"/>
    <n v="28598400"/>
  </r>
  <r>
    <x v="85"/>
    <n v="9.5920000000000005E-2"/>
    <n v="9.8958000000000004E-2"/>
    <n v="9.4617999999999994E-2"/>
    <x v="0"/>
    <n v="6.1252000000000001E-2"/>
    <n v="13190400"/>
  </r>
  <r>
    <x v="86"/>
    <n v="9.8089999999999997E-2"/>
    <n v="0.10069400000000001"/>
    <n v="9.8089999999999997E-2"/>
    <x v="1"/>
    <n v="6.3438999999999995E-2"/>
    <n v="9360000"/>
  </r>
  <r>
    <x v="87"/>
    <n v="0.10069400000000001"/>
    <n v="0.10243099999999999"/>
    <n v="9.9825999999999998E-2"/>
    <x v="2"/>
    <n v="6.4532999999999993E-2"/>
    <n v="6940800"/>
  </r>
  <r>
    <x v="88"/>
    <n v="0.10243099999999999"/>
    <n v="0.104167"/>
    <n v="9.9825999999999998E-2"/>
    <x v="28"/>
    <n v="6.5079999999999999E-2"/>
    <n v="12326400"/>
  </r>
  <r>
    <x v="89"/>
    <n v="0.103299"/>
    <n v="0.105035"/>
    <n v="0.103299"/>
    <x v="28"/>
    <n v="6.5079999999999999E-2"/>
    <n v="3513600"/>
  </r>
  <r>
    <x v="90"/>
    <n v="0.103299"/>
    <n v="0.106771"/>
    <n v="0.103299"/>
    <x v="29"/>
    <n v="6.7267999999999994E-2"/>
    <n v="10512000"/>
  </r>
  <r>
    <x v="91"/>
    <n v="0.106771"/>
    <n v="0.10850700000000001"/>
    <n v="0.104167"/>
    <x v="11"/>
    <n v="6.5627000000000005E-2"/>
    <n v="20793600"/>
  </r>
  <r>
    <x v="92"/>
    <n v="0.105903"/>
    <n v="0.109375"/>
    <n v="0.105903"/>
    <x v="22"/>
    <n v="6.7815E-2"/>
    <n v="14140800"/>
  </r>
  <r>
    <x v="93"/>
    <n v="0.107639"/>
    <n v="0.109375"/>
    <n v="0.107639"/>
    <x v="26"/>
    <n v="6.8361000000000005E-2"/>
    <n v="20448000"/>
  </r>
  <r>
    <x v="94"/>
    <n v="0.10850700000000001"/>
    <n v="0.10850700000000001"/>
    <n v="0.105903"/>
    <x v="31"/>
    <n v="6.6721000000000003E-2"/>
    <n v="11808000"/>
  </r>
  <r>
    <x v="95"/>
    <n v="0.105903"/>
    <n v="0.106771"/>
    <n v="0.101563"/>
    <x v="28"/>
    <n v="6.5079999999999999E-2"/>
    <n v="14054400"/>
  </r>
  <r>
    <x v="96"/>
    <n v="0.103299"/>
    <n v="0.103299"/>
    <n v="9.6353999999999995E-2"/>
    <x v="3"/>
    <n v="6.2892000000000003E-2"/>
    <n v="26409600"/>
  </r>
  <r>
    <x v="97"/>
    <n v="9.9825999999999998E-2"/>
    <n v="0.10069400000000001"/>
    <n v="9.8958000000000004E-2"/>
    <x v="32"/>
    <n v="6.2344999999999998E-2"/>
    <n v="15638400"/>
  </r>
  <r>
    <x v="98"/>
    <n v="9.8958000000000004E-2"/>
    <n v="9.9825999999999998E-2"/>
    <n v="9.7222000000000003E-2"/>
    <x v="4"/>
    <n v="6.1799E-2"/>
    <n v="12902400"/>
  </r>
  <r>
    <x v="99"/>
    <n v="9.8089999999999997E-2"/>
    <n v="9.8089999999999997E-2"/>
    <n v="9.5486000000000001E-2"/>
    <x v="4"/>
    <n v="6.1799E-2"/>
    <n v="12441600"/>
  </r>
  <r>
    <x v="100"/>
    <n v="9.8089999999999997E-2"/>
    <n v="9.8958000000000004E-2"/>
    <n v="9.7222000000000003E-2"/>
    <x v="0"/>
    <n v="6.1252000000000001E-2"/>
    <n v="2822400"/>
  </r>
  <r>
    <x v="101"/>
    <n v="9.7222000000000003E-2"/>
    <n v="9.8089999999999997E-2"/>
    <n v="9.4617999999999994E-2"/>
    <x v="10"/>
    <n v="6.0705000000000002E-2"/>
    <n v="18316800"/>
  </r>
  <r>
    <x v="102"/>
    <n v="9.6353999999999995E-2"/>
    <n v="9.7222000000000003E-2"/>
    <n v="9.4617999999999994E-2"/>
    <x v="5"/>
    <n v="6.0158000000000003E-2"/>
    <n v="3657600"/>
  </r>
  <r>
    <x v="103"/>
    <n v="9.5486000000000001E-2"/>
    <n v="9.8089999999999997E-2"/>
    <n v="9.5486000000000001E-2"/>
    <x v="10"/>
    <n v="6.0705000000000002E-2"/>
    <n v="4147200"/>
  </r>
  <r>
    <x v="104"/>
    <n v="9.8089999999999997E-2"/>
    <n v="0.10069400000000001"/>
    <n v="9.8089999999999997E-2"/>
    <x v="3"/>
    <n v="6.2892000000000003E-2"/>
    <n v="7948800"/>
  </r>
  <r>
    <x v="105"/>
    <n v="9.9825999999999998E-2"/>
    <n v="0.10243099999999999"/>
    <n v="9.9825999999999998E-2"/>
    <x v="2"/>
    <n v="6.4532999999999993E-2"/>
    <n v="9993600"/>
  </r>
  <r>
    <x v="106"/>
    <n v="0.10243099999999999"/>
    <n v="0.103299"/>
    <n v="0.101563"/>
    <x v="28"/>
    <n v="6.5079999999999999E-2"/>
    <n v="6883200"/>
  </r>
  <r>
    <x v="107"/>
    <n v="0.103299"/>
    <n v="0.106771"/>
    <n v="0.103299"/>
    <x v="31"/>
    <n v="6.6721000000000003E-2"/>
    <n v="20131200"/>
  </r>
  <r>
    <x v="108"/>
    <n v="0.105903"/>
    <n v="0.106771"/>
    <n v="0.105035"/>
    <x v="33"/>
    <n v="6.6993999999999998E-2"/>
    <n v="6105600"/>
  </r>
  <r>
    <x v="109"/>
    <n v="0.106337"/>
    <n v="0.106771"/>
    <n v="0.105035"/>
    <x v="12"/>
    <n v="6.6173999999999997E-2"/>
    <n v="12787200"/>
  </r>
  <r>
    <x v="110"/>
    <n v="0.105035"/>
    <n v="0.10546899999999999"/>
    <n v="0.103299"/>
    <x v="12"/>
    <n v="6.6173999999999997E-2"/>
    <n v="20390400"/>
  </r>
  <r>
    <x v="111"/>
    <n v="0.105035"/>
    <n v="0.105035"/>
    <n v="0.104167"/>
    <x v="11"/>
    <n v="6.5627000000000005E-2"/>
    <n v="20764800"/>
  </r>
  <r>
    <x v="112"/>
    <n v="0.104167"/>
    <n v="0.105903"/>
    <n v="0.104167"/>
    <x v="11"/>
    <n v="6.5627000000000005E-2"/>
    <n v="49536000"/>
  </r>
  <r>
    <x v="113"/>
    <n v="0.104167"/>
    <n v="0.105035"/>
    <n v="0.10069400000000001"/>
    <x v="2"/>
    <n v="6.4532999999999993E-2"/>
    <n v="5760000"/>
  </r>
  <r>
    <x v="114"/>
    <n v="0.10243099999999999"/>
    <n v="0.10243099999999999"/>
    <n v="0.10069400000000001"/>
    <x v="2"/>
    <n v="6.4532999999999993E-2"/>
    <n v="2419200"/>
  </r>
  <r>
    <x v="115"/>
    <n v="0.10243099999999999"/>
    <n v="0.10243099999999999"/>
    <n v="0.101563"/>
    <x v="13"/>
    <n v="6.3987000000000002E-2"/>
    <n v="10857600"/>
  </r>
  <r>
    <x v="116"/>
    <n v="0.101563"/>
    <n v="0.10243099999999999"/>
    <n v="0.10069400000000001"/>
    <x v="13"/>
    <n v="6.3987000000000002E-2"/>
    <n v="9532800"/>
  </r>
  <r>
    <x v="117"/>
    <n v="0.101563"/>
    <n v="0.10243099999999999"/>
    <n v="0.101563"/>
    <x v="13"/>
    <n v="6.3987000000000002E-2"/>
    <n v="3427200"/>
  </r>
  <r>
    <x v="118"/>
    <n v="0.101563"/>
    <n v="0.10243099999999999"/>
    <n v="9.7222000000000003E-2"/>
    <x v="32"/>
    <n v="6.2344999999999998E-2"/>
    <n v="25430400"/>
  </r>
  <r>
    <x v="119"/>
    <n v="9.8958000000000004E-2"/>
    <n v="9.8958000000000004E-2"/>
    <n v="9.5051999999999998E-2"/>
    <x v="10"/>
    <n v="6.0705000000000002E-2"/>
    <n v="5212800"/>
  </r>
  <r>
    <x v="120"/>
    <n v="9.5486000000000001E-2"/>
    <n v="9.5486000000000001E-2"/>
    <n v="9.1146000000000005E-2"/>
    <x v="34"/>
    <n v="5.9063999999999998E-2"/>
    <n v="18316800"/>
  </r>
  <r>
    <x v="121"/>
    <n v="9.5486000000000001E-2"/>
    <n v="0.101563"/>
    <n v="9.5486000000000001E-2"/>
    <x v="13"/>
    <n v="6.3987000000000002E-2"/>
    <n v="39427200"/>
  </r>
  <r>
    <x v="122"/>
    <n v="0.101563"/>
    <n v="0.105903"/>
    <n v="0.10069400000000001"/>
    <x v="31"/>
    <n v="6.6721000000000003E-2"/>
    <n v="26352000"/>
  </r>
  <r>
    <x v="123"/>
    <n v="0.105903"/>
    <n v="0.106771"/>
    <n v="0.105035"/>
    <x v="12"/>
    <n v="6.6173999999999997E-2"/>
    <n v="9619200"/>
  </r>
  <r>
    <x v="124"/>
    <n v="0.105035"/>
    <n v="0.109375"/>
    <n v="0.105035"/>
    <x v="29"/>
    <n v="6.7267999999999994E-2"/>
    <n v="37526400"/>
  </r>
  <r>
    <x v="125"/>
    <n v="0.106771"/>
    <n v="0.107639"/>
    <n v="0.105035"/>
    <x v="12"/>
    <n v="6.6173999999999997E-2"/>
    <n v="10886400"/>
  </r>
  <r>
    <x v="126"/>
    <n v="0.105035"/>
    <n v="0.105903"/>
    <n v="0.10069400000000001"/>
    <x v="1"/>
    <n v="6.3438999999999995E-2"/>
    <n v="35654400"/>
  </r>
  <r>
    <x v="127"/>
    <n v="0.10069400000000001"/>
    <n v="0.101563"/>
    <n v="9.8089999999999997E-2"/>
    <x v="4"/>
    <n v="6.1799E-2"/>
    <n v="24451200"/>
  </r>
  <r>
    <x v="128"/>
    <n v="9.8089999999999997E-2"/>
    <n v="9.9825999999999998E-2"/>
    <n v="9.6353999999999995E-2"/>
    <x v="3"/>
    <n v="6.2892000000000003E-2"/>
    <n v="22492800"/>
  </r>
  <r>
    <x v="129"/>
    <n v="9.9825999999999998E-2"/>
    <n v="0.10069400000000001"/>
    <n v="9.8089999999999997E-2"/>
    <x v="3"/>
    <n v="6.2892000000000003E-2"/>
    <n v="5184000"/>
  </r>
  <r>
    <x v="130"/>
    <n v="9.9825999999999998E-2"/>
    <n v="0.104167"/>
    <n v="9.8958000000000004E-2"/>
    <x v="2"/>
    <n v="6.4532999999999993E-2"/>
    <n v="8035200"/>
  </r>
  <r>
    <x v="131"/>
    <n v="0.10243099999999999"/>
    <n v="0.105035"/>
    <n v="0.10243099999999999"/>
    <x v="28"/>
    <n v="6.5079999999999999E-2"/>
    <n v="5356800"/>
  </r>
  <r>
    <x v="132"/>
    <n v="0.103299"/>
    <n v="0.104167"/>
    <n v="0.10243099999999999"/>
    <x v="28"/>
    <n v="6.5079999999999999E-2"/>
    <n v="2505600"/>
  </r>
  <r>
    <x v="133"/>
    <n v="0.103299"/>
    <n v="0.103299"/>
    <n v="0.10243099999999999"/>
    <x v="2"/>
    <n v="6.4532999999999993E-2"/>
    <n v="4492800"/>
  </r>
  <r>
    <x v="134"/>
    <n v="0.10243099999999999"/>
    <n v="0.105035"/>
    <n v="0.10243099999999999"/>
    <x v="11"/>
    <n v="6.5627000000000005E-2"/>
    <n v="5961600"/>
  </r>
  <r>
    <x v="135"/>
    <n v="0.104167"/>
    <n v="0.104167"/>
    <n v="0.10243099999999999"/>
    <x v="35"/>
    <n v="6.4807000000000003E-2"/>
    <n v="4780800"/>
  </r>
  <r>
    <x v="136"/>
    <n v="0.102865"/>
    <n v="0.103299"/>
    <n v="0.10069400000000001"/>
    <x v="1"/>
    <n v="6.3438999999999995E-2"/>
    <n v="5155200"/>
  </r>
  <r>
    <x v="137"/>
    <n v="0.10069400000000001"/>
    <n v="0.101563"/>
    <n v="9.9825999999999998E-2"/>
    <x v="1"/>
    <n v="6.3438999999999995E-2"/>
    <n v="2332800"/>
  </r>
  <r>
    <x v="138"/>
    <n v="0.10069400000000001"/>
    <n v="0.10069400000000001"/>
    <n v="9.8089999999999997E-2"/>
    <x v="4"/>
    <n v="6.1799E-2"/>
    <n v="6192000"/>
  </r>
  <r>
    <x v="139"/>
    <n v="9.8089999999999997E-2"/>
    <n v="9.9825999999999998E-2"/>
    <n v="9.8089999999999997E-2"/>
    <x v="4"/>
    <n v="6.1799E-2"/>
    <n v="5184000"/>
  </r>
  <r>
    <x v="140"/>
    <n v="9.8089999999999997E-2"/>
    <n v="9.9825999999999998E-2"/>
    <n v="9.5486000000000001E-2"/>
    <x v="0"/>
    <n v="6.1252000000000001E-2"/>
    <n v="32428800"/>
  </r>
  <r>
    <x v="141"/>
    <n v="9.7222000000000003E-2"/>
    <n v="9.8958000000000004E-2"/>
    <n v="9.6353999999999995E-2"/>
    <x v="0"/>
    <n v="6.1252000000000001E-2"/>
    <n v="22723200"/>
  </r>
  <r>
    <x v="142"/>
    <n v="9.7222000000000003E-2"/>
    <n v="9.8958000000000004E-2"/>
    <n v="9.7222000000000003E-2"/>
    <x v="4"/>
    <n v="6.1799E-2"/>
    <n v="14716800"/>
  </r>
  <r>
    <x v="143"/>
    <n v="0.10069400000000001"/>
    <n v="0.107639"/>
    <n v="0.10069400000000001"/>
    <x v="31"/>
    <n v="6.6721000000000003E-2"/>
    <n v="85334400"/>
  </r>
  <r>
    <x v="144"/>
    <n v="0.105903"/>
    <n v="0.11024299999999999"/>
    <n v="0.105903"/>
    <x v="36"/>
    <n v="6.8087999999999996E-2"/>
    <n v="59788800"/>
  </r>
  <r>
    <x v="145"/>
    <n v="0.108073"/>
    <n v="0.112413"/>
    <n v="0.106771"/>
    <x v="21"/>
    <n v="7.0001999999999995E-2"/>
    <n v="119606400"/>
  </r>
  <r>
    <x v="146"/>
    <n v="0.111111"/>
    <n v="0.117188"/>
    <n v="0.111111"/>
    <x v="18"/>
    <n v="7.2189000000000003E-2"/>
    <n v="92563200"/>
  </r>
  <r>
    <x v="147"/>
    <n v="0.114583"/>
    <n v="0.122396"/>
    <n v="0.112847"/>
    <x v="37"/>
    <n v="7.5470999999999996E-2"/>
    <n v="76752000"/>
  </r>
  <r>
    <x v="148"/>
    <n v="0.119792"/>
    <n v="0.119792"/>
    <n v="0.114583"/>
    <x v="18"/>
    <n v="7.2189000000000003E-2"/>
    <n v="27129600"/>
  </r>
  <r>
    <x v="149"/>
    <n v="0.115451"/>
    <n v="0.117188"/>
    <n v="0.115451"/>
    <x v="38"/>
    <n v="7.3283000000000001E-2"/>
    <n v="12873600"/>
  </r>
  <r>
    <x v="150"/>
    <n v="0.11631900000000001"/>
    <n v="0.122396"/>
    <n v="0.11631900000000001"/>
    <x v="23"/>
    <n v="7.6564999999999994E-2"/>
    <n v="63532800"/>
  </r>
  <r>
    <x v="151"/>
    <n v="0.121528"/>
    <n v="0.122396"/>
    <n v="0.12066"/>
    <x v="23"/>
    <n v="7.6564999999999994E-2"/>
    <n v="21859200"/>
  </r>
  <r>
    <x v="152"/>
    <n v="0.121528"/>
    <n v="0.12586800000000001"/>
    <n v="0.121528"/>
    <x v="39"/>
    <n v="7.8752000000000003E-2"/>
    <n v="124444800"/>
  </r>
  <r>
    <x v="153"/>
    <n v="0.125"/>
    <n v="0.127604"/>
    <n v="0.122396"/>
    <x v="40"/>
    <n v="7.9298999999999994E-2"/>
    <n v="43545600"/>
  </r>
  <r>
    <x v="154"/>
    <n v="0.12673599999999999"/>
    <n v="0.131076"/>
    <n v="0.12673599999999999"/>
    <x v="41"/>
    <n v="8.2580000000000001E-2"/>
    <n v="112377600"/>
  </r>
  <r>
    <x v="155"/>
    <n v="0.131076"/>
    <n v="0.132378"/>
    <n v="0.13020799999999999"/>
    <x v="41"/>
    <n v="8.2580000000000001E-2"/>
    <n v="54576000"/>
  </r>
  <r>
    <x v="156"/>
    <n v="0.131076"/>
    <n v="0.13194400000000001"/>
    <n v="0.129774"/>
    <x v="41"/>
    <n v="8.2580000000000001E-2"/>
    <n v="70444800"/>
  </r>
  <r>
    <x v="157"/>
    <n v="0.131076"/>
    <n v="0.131076"/>
    <n v="0.12673599999999999"/>
    <x v="42"/>
    <n v="8.2033999999999996E-2"/>
    <n v="101376000"/>
  </r>
  <r>
    <x v="158"/>
    <n v="0.131076"/>
    <n v="0.134549"/>
    <n v="0.131076"/>
    <x v="43"/>
    <n v="8.4767999999999996E-2"/>
    <n v="125654400"/>
  </r>
  <r>
    <x v="159"/>
    <n v="0.134549"/>
    <n v="0.13975699999999999"/>
    <n v="0.134549"/>
    <x v="44"/>
    <n v="8.6681999999999995E-2"/>
    <n v="142646400"/>
  </r>
  <r>
    <x v="160"/>
    <n v="0.13758699999999999"/>
    <n v="0.138021"/>
    <n v="0.13194400000000001"/>
    <x v="45"/>
    <n v="8.4222000000000005E-2"/>
    <n v="53222400"/>
  </r>
  <r>
    <x v="161"/>
    <n v="0.13368099999999999"/>
    <n v="0.138021"/>
    <n v="0.13281299999999999"/>
    <x v="46"/>
    <n v="8.5861999999999994E-2"/>
    <n v="44380800"/>
  </r>
  <r>
    <x v="162"/>
    <n v="0.13628499999999999"/>
    <n v="0.138021"/>
    <n v="0.13368099999999999"/>
    <x v="43"/>
    <n v="8.4767999999999996E-2"/>
    <n v="63734400"/>
  </r>
  <r>
    <x v="163"/>
    <n v="0.13541700000000001"/>
    <n v="0.138021"/>
    <n v="0.13541700000000001"/>
    <x v="47"/>
    <n v="8.6409E-2"/>
    <n v="42192000"/>
  </r>
  <r>
    <x v="164"/>
    <n v="0.137153"/>
    <n v="0.14236099999999999"/>
    <n v="0.137153"/>
    <x v="48"/>
    <n v="8.9690000000000006E-2"/>
    <n v="54403200"/>
  </r>
  <r>
    <x v="165"/>
    <n v="0.14236099999999999"/>
    <n v="0.15190999999999999"/>
    <n v="0.14149300000000001"/>
    <x v="49"/>
    <n v="9.5158999999999994E-2"/>
    <n v="45100800"/>
  </r>
  <r>
    <x v="166"/>
    <n v="0.15104200000000001"/>
    <n v="0.15798599999999999"/>
    <n v="0.150174"/>
    <x v="50"/>
    <n v="9.7347000000000003E-2"/>
    <n v="72576000"/>
  </r>
  <r>
    <x v="167"/>
    <n v="0.15451400000000001"/>
    <n v="0.15538199999999999"/>
    <n v="0.15104200000000001"/>
    <x v="51"/>
    <n v="9.6799999999999997E-2"/>
    <n v="44323200"/>
  </r>
  <r>
    <x v="168"/>
    <n v="0.153646"/>
    <n v="0.153646"/>
    <n v="0.146701"/>
    <x v="52"/>
    <n v="9.2970999999999998E-2"/>
    <n v="28684800"/>
  </r>
  <r>
    <x v="169"/>
    <n v="0.14843799999999999"/>
    <n v="0.150174"/>
    <n v="0.14843799999999999"/>
    <x v="53"/>
    <n v="9.3519000000000005E-2"/>
    <n v="11894400"/>
  </r>
  <r>
    <x v="170"/>
    <n v="0.14843799999999999"/>
    <n v="0.15190999999999999"/>
    <n v="0.146701"/>
    <x v="53"/>
    <n v="9.3519000000000005E-2"/>
    <n v="34156800"/>
  </r>
  <r>
    <x v="171"/>
    <n v="0.14843799999999999"/>
    <n v="0.14930599999999999"/>
    <n v="0.14583299999999999"/>
    <x v="54"/>
    <n v="9.2150999999999997E-2"/>
    <n v="30211200"/>
  </r>
  <r>
    <x v="172"/>
    <n v="0.14626700000000001"/>
    <n v="0.14756900000000001"/>
    <n v="0.143229"/>
    <x v="52"/>
    <n v="9.2970999999999998E-2"/>
    <n v="18720000"/>
  </r>
  <r>
    <x v="173"/>
    <n v="0.14756900000000001"/>
    <n v="0.150174"/>
    <n v="0.14583299999999999"/>
    <x v="53"/>
    <n v="9.3519000000000005E-2"/>
    <n v="24307200"/>
  </r>
  <r>
    <x v="174"/>
    <n v="0.14843799999999999"/>
    <n v="0.14930599999999999"/>
    <n v="0.140625"/>
    <x v="55"/>
    <n v="8.8595999999999994E-2"/>
    <n v="59673600"/>
  </r>
  <r>
    <x v="175"/>
    <n v="0.140625"/>
    <n v="0.146701"/>
    <n v="0.140625"/>
    <x v="56"/>
    <n v="9.1878000000000001E-2"/>
    <n v="48729600"/>
  </r>
  <r>
    <x v="176"/>
    <n v="0.14583299999999999"/>
    <n v="0.15711800000000001"/>
    <n v="0.14583299999999999"/>
    <x v="57"/>
    <n v="9.8987000000000006E-2"/>
    <n v="98179200"/>
  </r>
  <r>
    <x v="177"/>
    <n v="0.15798599999999999"/>
    <n v="0.16406299999999999"/>
    <n v="0.15798599999999999"/>
    <x v="58"/>
    <n v="0.102269"/>
    <n v="91065600"/>
  </r>
  <r>
    <x v="178"/>
    <n v="0.162326"/>
    <n v="0.17621500000000001"/>
    <n v="0.15711800000000001"/>
    <x v="59"/>
    <n v="0.110472"/>
    <n v="173836800"/>
  </r>
  <r>
    <x v="179"/>
    <n v="0.175347"/>
    <n v="0.177951"/>
    <n v="0.174479"/>
    <x v="60"/>
    <n v="0.111566"/>
    <n v="95788800"/>
  </r>
  <r>
    <x v="180"/>
    <n v="0.17708299999999999"/>
    <n v="0.177951"/>
    <n v="0.175347"/>
    <x v="59"/>
    <n v="0.110472"/>
    <n v="38793600"/>
  </r>
  <r>
    <x v="181"/>
    <n v="0.175347"/>
    <n v="0.17621500000000001"/>
    <n v="0.17100699999999999"/>
    <x v="61"/>
    <n v="0.108831"/>
    <n v="41328000"/>
  </r>
  <r>
    <x v="182"/>
    <n v="0.17274300000000001"/>
    <n v="0.17361099999999999"/>
    <n v="0.168403"/>
    <x v="62"/>
    <n v="0.106644"/>
    <n v="40291200"/>
  </r>
  <r>
    <x v="183"/>
    <n v="0.17013900000000001"/>
    <n v="0.17361099999999999"/>
    <n v="0.17013900000000001"/>
    <x v="63"/>
    <n v="0.10719099999999999"/>
    <n v="28771200"/>
  </r>
  <r>
    <x v="184"/>
    <n v="0.17013900000000001"/>
    <n v="0.171875"/>
    <n v="0.168403"/>
    <x v="64"/>
    <n v="0.10637000000000001"/>
    <n v="35164800"/>
  </r>
  <r>
    <x v="185"/>
    <n v="0.16883699999999999"/>
    <n v="0.17274300000000001"/>
    <n v="0.16753499999999999"/>
    <x v="65"/>
    <n v="0.107738"/>
    <n v="42508800"/>
  </r>
  <r>
    <x v="186"/>
    <n v="0.17100699999999999"/>
    <n v="0.171875"/>
    <n v="0.17013900000000001"/>
    <x v="63"/>
    <n v="0.10719099999999999"/>
    <n v="107510400"/>
  </r>
  <r>
    <x v="187"/>
    <n v="0.17013900000000001"/>
    <n v="0.171875"/>
    <n v="0.165799"/>
    <x v="66"/>
    <n v="0.106097"/>
    <n v="22665600"/>
  </r>
  <r>
    <x v="188"/>
    <n v="0.168403"/>
    <n v="0.169271"/>
    <n v="0.16666700000000001"/>
    <x v="67"/>
    <n v="0.10555"/>
    <n v="16099200"/>
  </r>
  <r>
    <x v="189"/>
    <n v="0.16753499999999999"/>
    <n v="0.169271"/>
    <n v="0.165799"/>
    <x v="64"/>
    <n v="0.10637000000000001"/>
    <n v="27590400"/>
  </r>
  <r>
    <x v="190"/>
    <n v="0.16883699999999999"/>
    <n v="0.17100699999999999"/>
    <n v="0.168403"/>
    <x v="63"/>
    <n v="0.10719099999999999"/>
    <n v="11635200"/>
  </r>
  <r>
    <x v="191"/>
    <n v="0.17013900000000001"/>
    <n v="0.17013900000000001"/>
    <n v="0.16406299999999999"/>
    <x v="68"/>
    <n v="0.103363"/>
    <n v="25286400"/>
  </r>
  <r>
    <x v="192"/>
    <n v="0.16406299999999999"/>
    <n v="0.16493099999999999"/>
    <n v="0.15711800000000001"/>
    <x v="69"/>
    <n v="0.100628"/>
    <n v="50774400"/>
  </r>
  <r>
    <x v="193"/>
    <n v="0.16059000000000001"/>
    <n v="0.16406299999999999"/>
    <n v="0.16059000000000001"/>
    <x v="70"/>
    <n v="0.10172200000000001"/>
    <n v="77299200"/>
  </r>
  <r>
    <x v="194"/>
    <n v="0.16145799999999999"/>
    <n v="0.16406299999999999"/>
    <n v="0.16145799999999999"/>
    <x v="71"/>
    <n v="0.102815"/>
    <n v="23356800"/>
  </r>
  <r>
    <x v="195"/>
    <n v="0.16319400000000001"/>
    <n v="0.16493099999999999"/>
    <n v="0.162326"/>
    <x v="72"/>
    <n v="0.10363600000000001"/>
    <n v="12672000"/>
  </r>
  <r>
    <x v="196"/>
    <n v="0.16493099999999999"/>
    <n v="0.17013900000000001"/>
    <n v="0.16493099999999999"/>
    <x v="66"/>
    <n v="0.106097"/>
    <n v="56592000"/>
  </r>
  <r>
    <x v="197"/>
    <n v="0.168403"/>
    <n v="0.171875"/>
    <n v="0.168403"/>
    <x v="63"/>
    <n v="0.10719099999999999"/>
    <n v="18316800"/>
  </r>
  <r>
    <x v="198"/>
    <n v="0.17013900000000001"/>
    <n v="0.171875"/>
    <n v="0.17013900000000001"/>
    <x v="73"/>
    <n v="0.10828500000000001"/>
    <n v="23788800"/>
  </r>
  <r>
    <x v="199"/>
    <n v="0.171875"/>
    <n v="0.171875"/>
    <n v="0.17100699999999999"/>
    <x v="74"/>
    <n v="0.108011"/>
    <n v="7027200"/>
  </r>
  <r>
    <x v="200"/>
    <n v="0.17144100000000001"/>
    <n v="0.17274300000000001"/>
    <n v="0.17100699999999999"/>
    <x v="65"/>
    <n v="0.107738"/>
    <n v="3715200"/>
  </r>
  <r>
    <x v="201"/>
    <n v="0.17100699999999999"/>
    <n v="0.17274300000000001"/>
    <n v="0.16406299999999999"/>
    <x v="68"/>
    <n v="0.103363"/>
    <n v="41702400"/>
  </r>
  <r>
    <x v="202"/>
    <n v="0.16406299999999999"/>
    <n v="0.16666700000000001"/>
    <n v="0.162326"/>
    <x v="75"/>
    <n v="0.10445699999999999"/>
    <n v="25401600"/>
  </r>
  <r>
    <x v="203"/>
    <n v="0.165799"/>
    <n v="0.17013900000000001"/>
    <n v="0.165799"/>
    <x v="67"/>
    <n v="0.10555"/>
    <n v="23356800"/>
  </r>
  <r>
    <x v="204"/>
    <n v="0.16753499999999999"/>
    <n v="0.169271"/>
    <n v="0.16493099999999999"/>
    <x v="75"/>
    <n v="0.10445699999999999"/>
    <n v="12643200"/>
  </r>
  <r>
    <x v="205"/>
    <n v="0.165799"/>
    <n v="0.17708299999999999"/>
    <n v="0.16493099999999999"/>
    <x v="59"/>
    <n v="0.110472"/>
    <n v="48499200"/>
  </r>
  <r>
    <x v="206"/>
    <n v="0.175347"/>
    <n v="0.17881900000000001"/>
    <n v="0.174479"/>
    <x v="76"/>
    <n v="0.112112"/>
    <n v="40032000"/>
  </r>
  <r>
    <x v="207"/>
    <n v="0.177951"/>
    <n v="0.1875"/>
    <n v="0.177951"/>
    <x v="77"/>
    <n v="0.118129"/>
    <n v="60998400"/>
  </r>
  <r>
    <x v="208"/>
    <n v="0.18836800000000001"/>
    <n v="0.19531299999999999"/>
    <n v="0.18836800000000001"/>
    <x v="78"/>
    <n v="0.121957"/>
    <n v="61488000"/>
  </r>
  <r>
    <x v="209"/>
    <n v="0.193576"/>
    <n v="0.20225699999999999"/>
    <n v="0.19270799999999999"/>
    <x v="79"/>
    <n v="0.12687899999999999"/>
    <n v="63705600"/>
  </r>
  <r>
    <x v="210"/>
    <n v="0.20138900000000001"/>
    <n v="0.216146"/>
    <n v="0.199653"/>
    <x v="80"/>
    <n v="0.13508200000000001"/>
    <n v="128793600"/>
  </r>
  <r>
    <x v="211"/>
    <n v="0.212674"/>
    <n v="0.212674"/>
    <n v="0.20486099999999999"/>
    <x v="81"/>
    <n v="0.13125400000000001"/>
    <n v="76320000"/>
  </r>
  <r>
    <x v="212"/>
    <n v="0.20833299999999999"/>
    <n v="0.209201"/>
    <n v="0.20399300000000001"/>
    <x v="81"/>
    <n v="0.13125400000000001"/>
    <n v="69465600"/>
  </r>
  <r>
    <x v="213"/>
    <n v="0.20833299999999999"/>
    <n v="0.224826"/>
    <n v="0.20833299999999999"/>
    <x v="82"/>
    <n v="0.13836399999999999"/>
    <n v="117014400"/>
  </r>
  <r>
    <x v="214"/>
    <n v="0.21961800000000001"/>
    <n v="0.21961800000000001"/>
    <n v="0.21006900000000001"/>
    <x v="80"/>
    <n v="0.13508200000000001"/>
    <n v="65433600"/>
  </r>
  <r>
    <x v="215"/>
    <n v="0.21440999999999999"/>
    <n v="0.222222"/>
    <n v="0.21006900000000001"/>
    <x v="83"/>
    <n v="0.14000399999999999"/>
    <n v="88243200"/>
  </r>
  <r>
    <x v="216"/>
    <n v="0.222222"/>
    <n v="0.230903"/>
    <n v="0.221354"/>
    <x v="84"/>
    <n v="0.14219200000000001"/>
    <n v="95760000"/>
  </r>
  <r>
    <x v="217"/>
    <n v="0.22569400000000001"/>
    <n v="0.24131900000000001"/>
    <n v="0.221354"/>
    <x v="85"/>
    <n v="0.14820800000000001"/>
    <n v="108489600"/>
  </r>
  <r>
    <x v="218"/>
    <n v="0.23524300000000001"/>
    <n v="0.25954899999999997"/>
    <n v="0.228299"/>
    <x v="86"/>
    <n v="0.16297400000000001"/>
    <n v="116035200"/>
  </r>
  <r>
    <x v="219"/>
    <n v="0.25868099999999999"/>
    <n v="0.26909699999999998"/>
    <n v="0.234375"/>
    <x v="87"/>
    <n v="0.14766099999999999"/>
    <n v="317894400"/>
  </r>
  <r>
    <x v="220"/>
    <n v="0.23611099999999999"/>
    <n v="0.24131900000000001"/>
    <n v="0.228299"/>
    <x v="88"/>
    <n v="0.150395"/>
    <n v="116553600"/>
  </r>
  <r>
    <x v="221"/>
    <n v="0.23871500000000001"/>
    <n v="0.25173600000000002"/>
    <n v="0.23871500000000001"/>
    <x v="89"/>
    <n v="0.15641099999999999"/>
    <n v="114105600"/>
  </r>
  <r>
    <x v="222"/>
    <n v="0.24826400000000001"/>
    <n v="0.252604"/>
    <n v="0.24131900000000001"/>
    <x v="90"/>
    <n v="0.15695799999999999"/>
    <n v="76723200"/>
  </r>
  <r>
    <x v="223"/>
    <n v="0.24913199999999999"/>
    <n v="0.25173600000000002"/>
    <n v="0.23350699999999999"/>
    <x v="88"/>
    <n v="0.150395"/>
    <n v="79228800"/>
  </r>
  <r>
    <x v="224"/>
    <n v="0.23871500000000001"/>
    <n v="0.25434000000000001"/>
    <n v="0.23524300000000001"/>
    <x v="91"/>
    <n v="0.159966"/>
    <n v="104169600"/>
  </r>
  <r>
    <x v="225"/>
    <n v="0.25390600000000002"/>
    <n v="0.25868099999999999"/>
    <n v="0.25347199999999998"/>
    <x v="92"/>
    <n v="0.159692"/>
    <n v="46915200"/>
  </r>
  <r>
    <x v="226"/>
    <n v="0.25347199999999998"/>
    <n v="0.25607600000000003"/>
    <n v="0.24479200000000001"/>
    <x v="90"/>
    <n v="0.15695799999999999"/>
    <n v="59328000"/>
  </r>
  <r>
    <x v="227"/>
    <n v="0.24913199999999999"/>
    <n v="0.25086799999999998"/>
    <n v="0.246528"/>
    <x v="93"/>
    <n v="0.15750500000000001"/>
    <n v="31737600"/>
  </r>
  <r>
    <x v="228"/>
    <n v="0.25"/>
    <n v="0.25173600000000002"/>
    <n v="0.24565999999999999"/>
    <x v="89"/>
    <n v="0.15641099999999999"/>
    <n v="42652800"/>
  </r>
  <r>
    <x v="229"/>
    <n v="0.24826400000000001"/>
    <n v="0.24956600000000001"/>
    <n v="0.237847"/>
    <x v="94"/>
    <n v="0.150668"/>
    <n v="45619200"/>
  </r>
  <r>
    <x v="230"/>
    <n v="0.23871500000000001"/>
    <n v="0.23871500000000001"/>
    <n v="0.235677"/>
    <x v="95"/>
    <n v="0.14930099999999999"/>
    <n v="136080000"/>
  </r>
  <r>
    <x v="231"/>
    <n v="0.236979"/>
    <n v="0.237847"/>
    <n v="0.231771"/>
    <x v="96"/>
    <n v="0.14984800000000001"/>
    <n v="44668800"/>
  </r>
  <r>
    <x v="232"/>
    <n v="0.23871500000000001"/>
    <n v="0.24913199999999999"/>
    <n v="0.23871500000000001"/>
    <x v="90"/>
    <n v="0.15695799999999999"/>
    <n v="60307200"/>
  </r>
  <r>
    <x v="233"/>
    <n v="0.24913199999999999"/>
    <n v="0.26779500000000001"/>
    <n v="0.24913199999999999"/>
    <x v="97"/>
    <n v="0.16789599999999999"/>
    <n v="185731200"/>
  </r>
  <r>
    <x v="234"/>
    <n v="0.26649299999999998"/>
    <n v="0.26996500000000001"/>
    <n v="0.25781300000000001"/>
    <x v="98"/>
    <n v="0.16625499999999999"/>
    <n v="81763200"/>
  </r>
  <r>
    <x v="235"/>
    <n v="0.26388899999999998"/>
    <n v="0.26649299999999998"/>
    <n v="0.25781300000000001"/>
    <x v="99"/>
    <n v="0.167349"/>
    <n v="70732800"/>
  </r>
  <r>
    <x v="236"/>
    <n v="0.265625"/>
    <n v="0.26996500000000001"/>
    <n v="0.24826400000000001"/>
    <x v="90"/>
    <n v="0.15695799999999999"/>
    <n v="128592000"/>
  </r>
  <r>
    <x v="237"/>
    <n v="0.24826400000000001"/>
    <n v="0.24826400000000001"/>
    <n v="0.23611099999999999"/>
    <x v="88"/>
    <n v="0.150395"/>
    <n v="317750400"/>
  </r>
  <r>
    <x v="238"/>
    <n v="0.23871500000000001"/>
    <n v="0.23871500000000001"/>
    <n v="0.23263900000000001"/>
    <x v="100"/>
    <n v="0.148754"/>
    <n v="87897600"/>
  </r>
  <r>
    <x v="239"/>
    <n v="0.23611099999999999"/>
    <n v="0.25434000000000001"/>
    <n v="0.230903"/>
    <x v="101"/>
    <n v="0.158052"/>
    <n v="125913600"/>
  </r>
  <r>
    <x v="240"/>
    <n v="0.25086799999999998"/>
    <n v="0.26388899999999998"/>
    <n v="0.25086799999999998"/>
    <x v="102"/>
    <n v="0.16570799999999999"/>
    <n v="120816000"/>
  </r>
  <r>
    <x v="241"/>
    <n v="0.263021"/>
    <n v="0.26779500000000001"/>
    <n v="0.25694400000000001"/>
    <x v="86"/>
    <n v="0.16297400000000001"/>
    <n v="65001600"/>
  </r>
  <r>
    <x v="242"/>
    <n v="0.25868099999999999"/>
    <n v="0.27604200000000001"/>
    <n v="0.25347199999999998"/>
    <x v="103"/>
    <n v="0.168989"/>
    <n v="145209600"/>
  </r>
  <r>
    <x v="243"/>
    <n v="0.268229"/>
    <n v="0.26996500000000001"/>
    <n v="0.26215300000000002"/>
    <x v="97"/>
    <n v="0.16789599999999999"/>
    <n v="37555200"/>
  </r>
  <r>
    <x v="244"/>
    <n v="0.26649299999999998"/>
    <n v="0.26649299999999998"/>
    <n v="0.25694400000000001"/>
    <x v="86"/>
    <n v="0.16297400000000001"/>
    <n v="79516800"/>
  </r>
  <r>
    <x v="245"/>
    <n v="0.25868099999999999"/>
    <n v="0.26128499999999999"/>
    <n v="0.25520799999999999"/>
    <x v="86"/>
    <n v="0.16297400000000001"/>
    <n v="81100800"/>
  </r>
  <r>
    <x v="246"/>
    <n v="0.25868099999999999"/>
    <n v="0.27777800000000002"/>
    <n v="0.25781300000000001"/>
    <x v="104"/>
    <n v="0.174459"/>
    <n v="98179200"/>
  </r>
  <r>
    <x v="247"/>
    <n v="0.27690999999999999"/>
    <n v="0.29600700000000002"/>
    <n v="0.27690999999999999"/>
    <x v="105"/>
    <n v="0.18266199999999999"/>
    <n v="128188800"/>
  </r>
  <r>
    <x v="248"/>
    <n v="0.28993099999999999"/>
    <n v="0.29166700000000001"/>
    <n v="0.28211799999999998"/>
    <x v="106"/>
    <n v="0.182115"/>
    <n v="63561600"/>
  </r>
  <r>
    <x v="249"/>
    <n v="0.28906300000000001"/>
    <n v="0.28993099999999999"/>
    <n v="0.28211799999999998"/>
    <x v="107"/>
    <n v="0.17883299999999999"/>
    <n v="38275200"/>
  </r>
  <r>
    <x v="250"/>
    <n v="0.283854"/>
    <n v="0.29600700000000002"/>
    <n v="0.28298600000000002"/>
    <x v="108"/>
    <n v="0.18430299999999999"/>
    <n v="74102400"/>
  </r>
  <r>
    <x v="251"/>
    <n v="0.296875"/>
    <n v="0.29861100000000002"/>
    <n v="0.29340300000000002"/>
    <x v="109"/>
    <n v="0.18703700000000001"/>
    <n v="43862400"/>
  </r>
  <r>
    <x v="252"/>
    <n v="0.296875"/>
    <n v="0.30034699999999998"/>
    <n v="0.28993099999999999"/>
    <x v="110"/>
    <n v="0.187857"/>
    <n v="71337600"/>
  </r>
  <r>
    <x v="253"/>
    <n v="0.29817700000000003"/>
    <n v="0.30034699999999998"/>
    <n v="0.28125"/>
    <x v="111"/>
    <n v="0.18102099999999999"/>
    <n v="105120000"/>
  </r>
  <r>
    <x v="254"/>
    <n v="0.28645799999999999"/>
    <n v="0.28645799999999999"/>
    <n v="0.27690999999999999"/>
    <x v="112"/>
    <n v="0.179927"/>
    <n v="88473600"/>
  </r>
  <r>
    <x v="255"/>
    <n v="0.28559000000000001"/>
    <n v="0.296875"/>
    <n v="0.28472199999999998"/>
    <x v="113"/>
    <n v="0.185943"/>
    <n v="54547200"/>
  </r>
  <r>
    <x v="256"/>
    <n v="0.296875"/>
    <n v="0.31336799999999998"/>
    <n v="0.296875"/>
    <x v="114"/>
    <n v="0.19578699999999999"/>
    <n v="119347200"/>
  </r>
  <r>
    <x v="257"/>
    <n v="0.31076399999999998"/>
    <n v="0.31684000000000001"/>
    <n v="0.30555599999999999"/>
    <x v="115"/>
    <n v="0.19961499999999999"/>
    <n v="62812800"/>
  </r>
  <r>
    <x v="258"/>
    <n v="0.31684000000000001"/>
    <n v="0.31684000000000001"/>
    <n v="0.31163200000000002"/>
    <x v="116"/>
    <n v="0.19742799999999999"/>
    <n v="38246400"/>
  </r>
  <r>
    <x v="259"/>
    <n v="0.31336799999999998"/>
    <n v="0.31770799999999999"/>
    <n v="0.30815999999999999"/>
    <x v="117"/>
    <n v="0.19606100000000001"/>
    <n v="67478400"/>
  </r>
  <r>
    <x v="260"/>
    <n v="0.30381900000000001"/>
    <n v="0.315104"/>
    <n v="0.30381900000000001"/>
    <x v="116"/>
    <n v="0.19742799999999999"/>
    <n v="69609600"/>
  </r>
  <r>
    <x v="261"/>
    <n v="0.31336799999999998"/>
    <n v="0.315104"/>
    <n v="0.309896"/>
    <x v="118"/>
    <n v="0.196607"/>
    <n v="33840000"/>
  </r>
  <r>
    <x v="262"/>
    <n v="0.31206600000000001"/>
    <n v="0.3125"/>
    <n v="0.30902800000000002"/>
    <x v="119"/>
    <n v="0.19524"/>
    <n v="33379200"/>
  </r>
  <r>
    <x v="263"/>
    <n v="0.31163200000000002"/>
    <n v="0.325521"/>
    <n v="0.31163200000000002"/>
    <x v="120"/>
    <n v="0.200709"/>
    <n v="120873600"/>
  </r>
  <r>
    <x v="264"/>
    <n v="0.31857600000000003"/>
    <n v="0.33593800000000001"/>
    <n v="0.30729200000000001"/>
    <x v="121"/>
    <n v="0.211647"/>
    <n v="186134400"/>
  </r>
  <r>
    <x v="265"/>
    <n v="0.33159699999999998"/>
    <n v="0.34375"/>
    <n v="0.33159699999999998"/>
    <x v="121"/>
    <n v="0.211647"/>
    <n v="125337600"/>
  </r>
  <r>
    <x v="266"/>
    <n v="0.33593800000000001"/>
    <n v="0.34288200000000002"/>
    <n v="0.31423600000000002"/>
    <x v="122"/>
    <n v="0.19906799999999999"/>
    <n v="259430400"/>
  </r>
  <r>
    <x v="267"/>
    <n v="0.32118099999999999"/>
    <n v="0.33680599999999999"/>
    <n v="0.32118099999999999"/>
    <x v="123"/>
    <n v="0.207819"/>
    <n v="159955200"/>
  </r>
  <r>
    <x v="268"/>
    <n v="0.32986100000000002"/>
    <n v="0.34809000000000001"/>
    <n v="0.32986100000000002"/>
    <x v="124"/>
    <n v="0.21820999999999999"/>
    <n v="155606400"/>
  </r>
  <r>
    <x v="269"/>
    <n v="0.346354"/>
    <n v="0.34722199999999998"/>
    <n v="0.33854200000000001"/>
    <x v="125"/>
    <n v="0.217116"/>
    <n v="98956800"/>
  </r>
  <r>
    <x v="270"/>
    <n v="0.34461799999999998"/>
    <n v="0.34461799999999998"/>
    <n v="0.32638899999999998"/>
    <x v="126"/>
    <n v="0.20563100000000001"/>
    <n v="73728000"/>
  </r>
  <r>
    <x v="271"/>
    <n v="0.32638899999999998"/>
    <n v="0.33940999999999999"/>
    <n v="0.32638899999999998"/>
    <x v="121"/>
    <n v="0.211647"/>
    <n v="106214400"/>
  </r>
  <r>
    <x v="272"/>
    <n v="0.33593800000000001"/>
    <n v="0.33593800000000001"/>
    <n v="0.32725700000000002"/>
    <x v="123"/>
    <n v="0.207819"/>
    <n v="71568000"/>
  </r>
  <r>
    <x v="273"/>
    <n v="0.32986100000000002"/>
    <n v="0.33246500000000001"/>
    <n v="0.32899299999999998"/>
    <x v="127"/>
    <n v="0.20918600000000001"/>
    <n v="43372800"/>
  </r>
  <r>
    <x v="274"/>
    <n v="0.33159699999999998"/>
    <n v="0.33159699999999998"/>
    <n v="0.31944400000000001"/>
    <x v="128"/>
    <n v="0.20235"/>
    <n v="50256000"/>
  </r>
  <r>
    <x v="275"/>
    <n v="0.32118099999999999"/>
    <n v="0.33159699999999998"/>
    <n v="0.31597199999999998"/>
    <x v="126"/>
    <n v="0.20563100000000001"/>
    <n v="87379200"/>
  </r>
  <r>
    <x v="276"/>
    <n v="0.32899299999999998"/>
    <n v="0.33680599999999999"/>
    <n v="0.32899299999999998"/>
    <x v="129"/>
    <n v="0.210006"/>
    <n v="95961600"/>
  </r>
  <r>
    <x v="277"/>
    <n v="0.33333299999999999"/>
    <n v="0.34895799999999999"/>
    <n v="0.33246500000000001"/>
    <x v="130"/>
    <n v="0.215475"/>
    <n v="188092800"/>
  </r>
  <r>
    <x v="278"/>
    <n v="0.34201399999999998"/>
    <n v="0.34548600000000002"/>
    <n v="0.33159699999999998"/>
    <x v="131"/>
    <n v="0.20945900000000001"/>
    <n v="100310400"/>
  </r>
  <r>
    <x v="279"/>
    <n v="0.33246500000000001"/>
    <n v="0.34027800000000002"/>
    <n v="0.325521"/>
    <x v="132"/>
    <n v="0.21274100000000001"/>
    <n v="113184000"/>
  </r>
  <r>
    <x v="280"/>
    <n v="0.33767399999999997"/>
    <n v="0.34288200000000002"/>
    <n v="0.33767399999999997"/>
    <x v="130"/>
    <n v="0.215475"/>
    <n v="74678400"/>
  </r>
  <r>
    <x v="281"/>
    <n v="0.34201399999999998"/>
    <n v="0.34548600000000002"/>
    <n v="0.33680599999999999"/>
    <x v="130"/>
    <n v="0.215475"/>
    <n v="48326400"/>
  </r>
  <r>
    <x v="282"/>
    <n v="0.34201399999999998"/>
    <n v="0.34548600000000002"/>
    <n v="0.33767399999999997"/>
    <x v="133"/>
    <n v="0.21656900000000001"/>
    <n v="54172800"/>
  </r>
  <r>
    <x v="283"/>
    <n v="0.34375"/>
    <n v="0.346354"/>
    <n v="0.33767399999999997"/>
    <x v="133"/>
    <n v="0.21656900000000001"/>
    <n v="53107200"/>
  </r>
  <r>
    <x v="284"/>
    <n v="0.34375"/>
    <n v="0.36979200000000001"/>
    <n v="0.34027800000000002"/>
    <x v="134"/>
    <n v="0.232429"/>
    <n v="111081600"/>
  </r>
  <r>
    <x v="285"/>
    <n v="0.36892399999999997"/>
    <n v="0.37847199999999998"/>
    <n v="0.35850700000000002"/>
    <x v="135"/>
    <n v="0.22586600000000001"/>
    <n v="85161600"/>
  </r>
  <r>
    <x v="286"/>
    <n v="0.35850700000000002"/>
    <n v="0.36892399999999997"/>
    <n v="0.35329899999999997"/>
    <x v="136"/>
    <n v="0.22750699999999999"/>
    <n v="88041600"/>
  </r>
  <r>
    <x v="287"/>
    <n v="0.36111100000000002"/>
    <n v="0.36545100000000003"/>
    <n v="0.356771"/>
    <x v="137"/>
    <n v="0.22969400000000001"/>
    <n v="37843200"/>
  </r>
  <r>
    <x v="288"/>
    <n v="0.36458299999999999"/>
    <n v="0.37413200000000002"/>
    <n v="0.36284699999999998"/>
    <x v="138"/>
    <n v="0.23407"/>
    <n v="34531200"/>
  </r>
  <r>
    <x v="289"/>
    <n v="0.372396"/>
    <n v="0.40190999999999999"/>
    <n v="0.372396"/>
    <x v="139"/>
    <n v="0.25321100000000002"/>
    <n v="110995200"/>
  </r>
  <r>
    <x v="290"/>
    <n v="0.40190999999999999"/>
    <n v="0.40538200000000002"/>
    <n v="0.390625"/>
    <x v="140"/>
    <n v="0.247195"/>
    <n v="153504000"/>
  </r>
  <r>
    <x v="291"/>
    <n v="0.39236100000000002"/>
    <n v="0.41145799999999999"/>
    <n v="0.38975700000000002"/>
    <x v="141"/>
    <n v="0.25868000000000002"/>
    <n v="289699200"/>
  </r>
  <r>
    <x v="292"/>
    <n v="0.41145799999999999"/>
    <n v="0.44531300000000001"/>
    <n v="0.41145799999999999"/>
    <x v="142"/>
    <n v="0.276727"/>
    <n v="150048000"/>
  </r>
  <r>
    <x v="293"/>
    <n v="0.43923600000000002"/>
    <n v="0.43923600000000002"/>
    <n v="0.426649"/>
    <x v="143"/>
    <n v="0.26906999999999998"/>
    <n v="127382400"/>
  </r>
  <r>
    <x v="294"/>
    <n v="0.42708299999999999"/>
    <n v="0.43142399999999997"/>
    <n v="0.40625"/>
    <x v="144"/>
    <n v="0.25977299999999998"/>
    <n v="148464000"/>
  </r>
  <r>
    <x v="295"/>
    <n v="0.41493099999999999"/>
    <n v="0.424479"/>
    <n v="0.41493099999999999"/>
    <x v="145"/>
    <n v="0.26633600000000002"/>
    <n v="73382400"/>
  </r>
  <r>
    <x v="296"/>
    <n v="0.42274299999999998"/>
    <n v="0.43402800000000002"/>
    <n v="0.42274299999999998"/>
    <x v="146"/>
    <n v="0.26852399999999998"/>
    <n v="59961600"/>
  </r>
  <r>
    <x v="297"/>
    <n v="0.42534699999999998"/>
    <n v="0.42534699999999998"/>
    <n v="0.41406300000000001"/>
    <x v="147"/>
    <n v="0.26086700000000002"/>
    <n v="84326400"/>
  </r>
  <r>
    <x v="298"/>
    <n v="0.41406300000000001"/>
    <n v="0.41406300000000001"/>
    <n v="0.38888899999999998"/>
    <x v="148"/>
    <n v="0.25211699999999998"/>
    <n v="172598400"/>
  </r>
  <r>
    <x v="299"/>
    <n v="0.40017399999999997"/>
    <n v="0.40017399999999997"/>
    <n v="0.38628499999999999"/>
    <x v="149"/>
    <n v="0.243367"/>
    <n v="78336000"/>
  </r>
  <r>
    <x v="300"/>
    <n v="0.38454899999999997"/>
    <n v="0.38454899999999997"/>
    <n v="0.372396"/>
    <x v="150"/>
    <n v="0.239538"/>
    <n v="228355200"/>
  </r>
  <r>
    <x v="301"/>
    <n v="0.38107600000000003"/>
    <n v="0.39149299999999998"/>
    <n v="0.38107600000000003"/>
    <x v="151"/>
    <n v="0.24391399999999999"/>
    <n v="93312000"/>
  </r>
  <r>
    <x v="302"/>
    <n v="0.38715300000000002"/>
    <n v="0.38888899999999998"/>
    <n v="0.37413200000000002"/>
    <x v="152"/>
    <n v="0.23680399999999999"/>
    <n v="64627200"/>
  </r>
  <r>
    <x v="303"/>
    <n v="0.37586799999999998"/>
    <n v="0.38194400000000001"/>
    <n v="0.375"/>
    <x v="150"/>
    <n v="0.239538"/>
    <n v="46886400"/>
  </r>
  <r>
    <x v="304"/>
    <n v="0.38020799999999999"/>
    <n v="0.38888899999999998"/>
    <n v="0.37847199999999998"/>
    <x v="150"/>
    <n v="0.239538"/>
    <n v="48758400"/>
  </r>
  <r>
    <x v="305"/>
    <n v="0.38020799999999999"/>
    <n v="0.40451399999999998"/>
    <n v="0.37934000000000001"/>
    <x v="153"/>
    <n v="0.254305"/>
    <n v="108662400"/>
  </r>
  <r>
    <x v="306"/>
    <n v="0.403646"/>
    <n v="0.41059000000000001"/>
    <n v="0.39930599999999999"/>
    <x v="148"/>
    <n v="0.25211699999999998"/>
    <n v="80380800"/>
  </r>
  <r>
    <x v="307"/>
    <n v="0.40017399999999997"/>
    <n v="0.40017399999999997"/>
    <n v="0.39236100000000002"/>
    <x v="140"/>
    <n v="0.247195"/>
    <n v="30326400"/>
  </r>
  <r>
    <x v="308"/>
    <n v="0.39236100000000002"/>
    <n v="0.39843800000000001"/>
    <n v="0.38541700000000001"/>
    <x v="154"/>
    <n v="0.24610099999999999"/>
    <n v="51552000"/>
  </r>
  <r>
    <x v="309"/>
    <n v="0.39236100000000002"/>
    <n v="0.39843800000000001"/>
    <n v="0.39236100000000002"/>
    <x v="155"/>
    <n v="0.24774199999999999"/>
    <n v="21628800"/>
  </r>
  <r>
    <x v="310"/>
    <n v="0.393229"/>
    <n v="0.393229"/>
    <n v="0.388021"/>
    <x v="154"/>
    <n v="0.24610099999999999"/>
    <n v="20390400"/>
  </r>
  <r>
    <x v="311"/>
    <n v="0.390625"/>
    <n v="0.39236100000000002"/>
    <n v="0.37152800000000002"/>
    <x v="156"/>
    <n v="0.23899100000000001"/>
    <n v="59270400"/>
  </r>
  <r>
    <x v="312"/>
    <n v="0.37934000000000001"/>
    <n v="0.38194400000000001"/>
    <n v="0.37326399999999998"/>
    <x v="157"/>
    <n v="0.24008499999999999"/>
    <n v="111571200"/>
  </r>
  <r>
    <x v="313"/>
    <n v="0.38107600000000003"/>
    <n v="0.38194400000000001"/>
    <n v="0.37673600000000002"/>
    <x v="158"/>
    <n v="0.23844499999999999"/>
    <n v="25833600"/>
  </r>
  <r>
    <x v="314"/>
    <n v="0.37847199999999998"/>
    <n v="0.38020799999999999"/>
    <n v="0.35156300000000001"/>
    <x v="159"/>
    <n v="0.226413"/>
    <n v="176256000"/>
  </r>
  <r>
    <x v="315"/>
    <n v="0.36545100000000003"/>
    <n v="0.36718800000000001"/>
    <n v="0.33767399999999997"/>
    <x v="160"/>
    <n v="0.21328800000000001"/>
    <n v="268704000"/>
  </r>
  <r>
    <x v="316"/>
    <n v="0.33854200000000001"/>
    <n v="0.35243099999999999"/>
    <n v="0.33767399999999997"/>
    <x v="161"/>
    <n v="0.21492800000000001"/>
    <n v="196156800"/>
  </r>
  <r>
    <x v="317"/>
    <n v="0.341146"/>
    <n v="0.346354"/>
    <n v="0.33420100000000003"/>
    <x v="161"/>
    <n v="0.21492800000000001"/>
    <n v="125222400"/>
  </r>
  <r>
    <x v="318"/>
    <n v="0.341146"/>
    <n v="0.35243099999999999"/>
    <n v="0.34027800000000002"/>
    <x v="162"/>
    <n v="0.219303"/>
    <n v="73526400"/>
  </r>
  <r>
    <x v="319"/>
    <n v="0.34982600000000003"/>
    <n v="0.36111100000000002"/>
    <n v="0.34982600000000003"/>
    <x v="163"/>
    <n v="0.22696"/>
    <n v="71078400"/>
  </r>
  <r>
    <x v="320"/>
    <n v="0.359375"/>
    <n v="0.36458299999999999"/>
    <n v="0.35416700000000001"/>
    <x v="164"/>
    <n v="0.22942100000000001"/>
    <n v="56188800"/>
  </r>
  <r>
    <x v="321"/>
    <n v="0.36545100000000003"/>
    <n v="0.36892399999999997"/>
    <n v="0.36111100000000002"/>
    <x v="165"/>
    <n v="0.2286"/>
    <n v="40809600"/>
  </r>
  <r>
    <x v="322"/>
    <n v="0.36458299999999999"/>
    <n v="0.36458299999999999"/>
    <n v="0.35763899999999998"/>
    <x v="163"/>
    <n v="0.22696"/>
    <n v="87436800"/>
  </r>
  <r>
    <x v="323"/>
    <n v="0.36024299999999998"/>
    <n v="0.36024299999999998"/>
    <n v="0.34895799999999999"/>
    <x v="166"/>
    <n v="0.224772"/>
    <n v="100771200"/>
  </r>
  <r>
    <x v="324"/>
    <n v="0.35850700000000002"/>
    <n v="0.36805599999999999"/>
    <n v="0.35850700000000002"/>
    <x v="167"/>
    <n v="0.22914699999999999"/>
    <n v="82684800"/>
  </r>
  <r>
    <x v="325"/>
    <n v="0.36284699999999998"/>
    <n v="0.36458299999999999"/>
    <n v="0.359375"/>
    <x v="165"/>
    <n v="0.2286"/>
    <n v="44035200"/>
  </r>
  <r>
    <x v="326"/>
    <n v="0.36371500000000001"/>
    <n v="0.36545100000000003"/>
    <n v="0.36024299999999998"/>
    <x v="167"/>
    <n v="0.22914699999999999"/>
    <n v="21945600"/>
  </r>
  <r>
    <x v="327"/>
    <n v="0.36371500000000001"/>
    <n v="0.36371500000000001"/>
    <n v="0.35590300000000002"/>
    <x v="168"/>
    <n v="0.22805400000000001"/>
    <n v="25632000"/>
  </r>
  <r>
    <x v="328"/>
    <n v="0.36284699999999998"/>
    <n v="0.36371500000000001"/>
    <n v="0.35329899999999997"/>
    <x v="169"/>
    <n v="0.223132"/>
    <n v="38332800"/>
  </r>
  <r>
    <x v="329"/>
    <n v="0.35329899999999997"/>
    <n v="0.35850700000000002"/>
    <n v="0.35243099999999999"/>
    <x v="170"/>
    <n v="0.22422600000000001"/>
    <n v="21945600"/>
  </r>
  <r>
    <x v="330"/>
    <n v="0.356771"/>
    <n v="0.356771"/>
    <n v="0.34288200000000002"/>
    <x v="171"/>
    <n v="0.21875600000000001"/>
    <n v="56880000"/>
  </r>
  <r>
    <x v="331"/>
    <n v="0.346354"/>
    <n v="0.35069400000000001"/>
    <n v="0.33680599999999999"/>
    <x v="160"/>
    <n v="0.21328800000000001"/>
    <n v="65491200"/>
  </r>
  <r>
    <x v="332"/>
    <n v="0.33767399999999997"/>
    <n v="0.33767399999999997"/>
    <n v="0.31076399999999998"/>
    <x v="116"/>
    <n v="0.19742799999999999"/>
    <n v="197078400"/>
  </r>
  <r>
    <x v="333"/>
    <n v="0.31597199999999998"/>
    <n v="0.32899299999999998"/>
    <n v="0.30729200000000001"/>
    <x v="172"/>
    <n v="0.20399100000000001"/>
    <n v="193449600"/>
  </r>
  <r>
    <x v="334"/>
    <n v="0.325521"/>
    <n v="0.34027800000000002"/>
    <n v="0.32378499999999999"/>
    <x v="131"/>
    <n v="0.20945900000000001"/>
    <n v="92707200"/>
  </r>
  <r>
    <x v="335"/>
    <n v="0.330729"/>
    <n v="0.33854200000000001"/>
    <n v="0.32638899999999998"/>
    <x v="173"/>
    <n v="0.21219399999999999"/>
    <n v="75830400"/>
  </r>
  <r>
    <x v="336"/>
    <n v="0.33680599999999999"/>
    <n v="0.34548600000000002"/>
    <n v="0.33333299999999999"/>
    <x v="125"/>
    <n v="0.217116"/>
    <n v="48326400"/>
  </r>
  <r>
    <x v="337"/>
    <n v="0.34722199999999998"/>
    <n v="0.36545100000000003"/>
    <n v="0.34548600000000002"/>
    <x v="137"/>
    <n v="0.22969400000000001"/>
    <n v="152812800"/>
  </r>
  <r>
    <x v="338"/>
    <n v="0.36458299999999999"/>
    <n v="0.36718800000000001"/>
    <n v="0.35503499999999999"/>
    <x v="174"/>
    <n v="0.22367899999999999"/>
    <n v="96768000"/>
  </r>
  <r>
    <x v="339"/>
    <n v="0.35590300000000002"/>
    <n v="0.35763899999999998"/>
    <n v="0.34722199999999998"/>
    <x v="169"/>
    <n v="0.223132"/>
    <n v="72979200"/>
  </r>
  <r>
    <x v="340"/>
    <n v="0.35416700000000001"/>
    <n v="0.36111100000000002"/>
    <n v="0.35329899999999997"/>
    <x v="174"/>
    <n v="0.22367899999999999"/>
    <n v="51264000"/>
  </r>
  <r>
    <x v="341"/>
    <n v="0.35416700000000001"/>
    <n v="0.35416700000000001"/>
    <n v="0.34461799999999998"/>
    <x v="175"/>
    <n v="0.217663"/>
    <n v="42019200"/>
  </r>
  <r>
    <x v="342"/>
    <n v="0.34548600000000002"/>
    <n v="0.35069400000000001"/>
    <n v="0.34201399999999998"/>
    <x v="125"/>
    <n v="0.217116"/>
    <n v="36547200"/>
  </r>
  <r>
    <x v="343"/>
    <n v="0.34461799999999998"/>
    <n v="0.34895799999999999"/>
    <n v="0.34201399999999998"/>
    <x v="171"/>
    <n v="0.21875600000000001"/>
    <n v="53366400"/>
  </r>
  <r>
    <x v="344"/>
    <n v="0.34722199999999998"/>
    <n v="0.34722199999999998"/>
    <n v="0.32638899999999998"/>
    <x v="176"/>
    <n v="0.213835"/>
    <n v="148492800"/>
  </r>
  <r>
    <x v="345"/>
    <n v="0.34027800000000002"/>
    <n v="0.34548600000000002"/>
    <n v="0.33940999999999999"/>
    <x v="130"/>
    <n v="0.215475"/>
    <n v="57744000"/>
  </r>
  <r>
    <x v="346"/>
    <n v="0.34201399999999998"/>
    <n v="0.346354"/>
    <n v="0.33680599999999999"/>
    <x v="124"/>
    <n v="0.21820999999999999"/>
    <n v="41817600"/>
  </r>
  <r>
    <x v="347"/>
    <n v="0.34809000000000001"/>
    <n v="0.35329899999999997"/>
    <n v="0.34461799999999998"/>
    <x v="175"/>
    <n v="0.217663"/>
    <n v="38160000"/>
  </r>
  <r>
    <x v="348"/>
    <n v="0.34548600000000002"/>
    <n v="0.346354"/>
    <n v="0.33940999999999999"/>
    <x v="125"/>
    <n v="0.217116"/>
    <n v="27676800"/>
  </r>
  <r>
    <x v="349"/>
    <n v="0.34461799999999998"/>
    <n v="0.34461799999999998"/>
    <n v="0.33333299999999999"/>
    <x v="173"/>
    <n v="0.21219399999999999"/>
    <n v="55555200"/>
  </r>
  <r>
    <x v="350"/>
    <n v="0.33506900000000001"/>
    <n v="0.33506900000000001"/>
    <n v="0.31944400000000001"/>
    <x v="126"/>
    <n v="0.20563100000000001"/>
    <n v="186624000"/>
  </r>
  <r>
    <x v="351"/>
    <n v="0.32638899999999998"/>
    <n v="0.328125"/>
    <n v="0.31684000000000001"/>
    <x v="120"/>
    <n v="0.200709"/>
    <n v="116352000"/>
  </r>
  <r>
    <x v="352"/>
    <n v="0.31857600000000003"/>
    <n v="0.325521"/>
    <n v="0.31857600000000003"/>
    <x v="177"/>
    <n v="0.20508399999999999"/>
    <n v="135072000"/>
  </r>
  <r>
    <x v="353"/>
    <n v="0.32638899999999998"/>
    <n v="0.34201399999999998"/>
    <n v="0.325521"/>
    <x v="132"/>
    <n v="0.21274100000000001"/>
    <n v="211190400"/>
  </r>
  <r>
    <x v="354"/>
    <n v="0.33854200000000001"/>
    <n v="0.35286499999999998"/>
    <n v="0.33854200000000001"/>
    <x v="178"/>
    <n v="0.220944"/>
    <n v="152553600"/>
  </r>
  <r>
    <x v="355"/>
    <n v="0.35069400000000001"/>
    <n v="0.36284699999999998"/>
    <n v="0.34982600000000003"/>
    <x v="159"/>
    <n v="0.226413"/>
    <n v="171014400"/>
  </r>
  <r>
    <x v="356"/>
    <n v="0.36024299999999998"/>
    <n v="0.36111100000000002"/>
    <n v="0.35590300000000002"/>
    <x v="159"/>
    <n v="0.226413"/>
    <n v="56448000"/>
  </r>
  <r>
    <x v="357"/>
    <n v="0.36111100000000002"/>
    <n v="0.36284699999999998"/>
    <n v="0.35069400000000001"/>
    <x v="179"/>
    <n v="0.22203800000000001"/>
    <n v="68544000"/>
  </r>
  <r>
    <x v="358"/>
    <n v="0.35243099999999999"/>
    <n v="0.35329899999999997"/>
    <n v="0.34722199999999998"/>
    <x v="171"/>
    <n v="0.21875600000000001"/>
    <n v="42364800"/>
  </r>
  <r>
    <x v="359"/>
    <n v="0.34722199999999998"/>
    <n v="0.36284699999999998"/>
    <n v="0.34722199999999998"/>
    <x v="180"/>
    <n v="0.22531899999999999"/>
    <n v="80640000"/>
  </r>
  <r>
    <x v="360"/>
    <n v="0.35763899999999998"/>
    <n v="0.36024299999999998"/>
    <n v="0.35590300000000002"/>
    <x v="159"/>
    <n v="0.226413"/>
    <n v="50832000"/>
  </r>
  <r>
    <x v="361"/>
    <n v="0.359375"/>
    <n v="0.361979"/>
    <n v="0.35763899999999998"/>
    <x v="168"/>
    <n v="0.22805400000000001"/>
    <n v="33667200"/>
  </r>
  <r>
    <x v="362"/>
    <n v="0.359375"/>
    <n v="0.36111100000000002"/>
    <n v="0.35243099999999999"/>
    <x v="170"/>
    <n v="0.22422600000000001"/>
    <n v="46944000"/>
  </r>
  <r>
    <x v="363"/>
    <n v="0.35590300000000002"/>
    <n v="0.356771"/>
    <n v="0.34895799999999999"/>
    <x v="170"/>
    <n v="0.22422600000000001"/>
    <n v="48902400"/>
  </r>
  <r>
    <x v="364"/>
    <n v="0.35590300000000002"/>
    <n v="0.36718800000000001"/>
    <n v="0.35590300000000002"/>
    <x v="181"/>
    <n v="0.230241"/>
    <n v="82051200"/>
  </r>
  <r>
    <x v="365"/>
    <n v="0.36458299999999999"/>
    <n v="0.37586799999999998"/>
    <n v="0.36458299999999999"/>
    <x v="138"/>
    <n v="0.23407"/>
    <n v="68976000"/>
  </r>
  <r>
    <x v="366"/>
    <n v="0.37152800000000002"/>
    <n v="0.38975700000000002"/>
    <n v="0.36631900000000001"/>
    <x v="182"/>
    <n v="0.24446100000000001"/>
    <n v="97747200"/>
  </r>
  <r>
    <x v="367"/>
    <n v="0.39149299999999998"/>
    <n v="0.40538200000000002"/>
    <n v="0.38715300000000002"/>
    <x v="183"/>
    <n v="0.251023"/>
    <n v="185961600"/>
  </r>
  <r>
    <x v="368"/>
    <n v="0.39843800000000001"/>
    <n v="0.40972199999999998"/>
    <n v="0.39670100000000003"/>
    <x v="184"/>
    <n v="0.252664"/>
    <n v="114105600"/>
  </r>
  <r>
    <x v="369"/>
    <n v="0.40104200000000001"/>
    <n v="0.403646"/>
    <n v="0.39670100000000003"/>
    <x v="139"/>
    <n v="0.25321100000000002"/>
    <n v="72432000"/>
  </r>
  <r>
    <x v="370"/>
    <n v="0.40277800000000002"/>
    <n v="0.42100700000000002"/>
    <n v="0.40277800000000002"/>
    <x v="185"/>
    <n v="0.26305499999999998"/>
    <n v="114796800"/>
  </r>
  <r>
    <x v="371"/>
    <n v="0.41579899999999997"/>
    <n v="0.41753499999999999"/>
    <n v="0.40538200000000002"/>
    <x v="144"/>
    <n v="0.25977299999999998"/>
    <n v="84326400"/>
  </r>
  <r>
    <x v="372"/>
    <n v="0.40972199999999998"/>
    <n v="0.41232600000000003"/>
    <n v="0.39236100000000002"/>
    <x v="186"/>
    <n v="0.24828900000000001"/>
    <n v="93859200"/>
  </r>
  <r>
    <x v="373"/>
    <n v="0.390625"/>
    <n v="0.40017399999999997"/>
    <n v="0.38975700000000002"/>
    <x v="187"/>
    <n v="0.25157000000000002"/>
    <n v="78393600"/>
  </r>
  <r>
    <x v="374"/>
    <n v="0.403646"/>
    <n v="0.408854"/>
    <n v="0.39496500000000001"/>
    <x v="148"/>
    <n v="0.25211699999999998"/>
    <n v="70934400"/>
  </r>
  <r>
    <x v="375"/>
    <n v="0.40017399999999997"/>
    <n v="0.40104200000000001"/>
    <n v="0.388021"/>
    <x v="188"/>
    <n v="0.245007"/>
    <n v="48355200"/>
  </r>
  <r>
    <x v="376"/>
    <n v="0.388021"/>
    <n v="0.38888899999999998"/>
    <n v="0.37586799999999998"/>
    <x v="151"/>
    <n v="0.24391399999999999"/>
    <n v="96336000"/>
  </r>
  <r>
    <x v="377"/>
    <n v="0.38888899999999998"/>
    <n v="0.39583299999999999"/>
    <n v="0.38715300000000002"/>
    <x v="189"/>
    <n v="0.24664800000000001"/>
    <n v="60710400"/>
  </r>
  <r>
    <x v="378"/>
    <n v="0.393229"/>
    <n v="0.40190999999999999"/>
    <n v="0.39236100000000002"/>
    <x v="190"/>
    <n v="0.25047599999999998"/>
    <n v="58176000"/>
  </r>
  <r>
    <x v="379"/>
    <n v="0.39756900000000001"/>
    <n v="0.40451399999999998"/>
    <n v="0.39583299999999999"/>
    <x v="153"/>
    <n v="0.254305"/>
    <n v="41040000"/>
  </r>
  <r>
    <x v="380"/>
    <n v="0.40451399999999998"/>
    <n v="0.41666700000000001"/>
    <n v="0.40451399999999998"/>
    <x v="147"/>
    <n v="0.26086700000000002"/>
    <n v="94464000"/>
  </r>
  <r>
    <x v="381"/>
    <n v="0.41493099999999999"/>
    <n v="0.41493099999999999"/>
    <n v="0.403646"/>
    <x v="191"/>
    <n v="0.257859"/>
    <n v="39052800"/>
  </r>
  <r>
    <x v="382"/>
    <n v="0.40972199999999998"/>
    <n v="0.41666700000000001"/>
    <n v="0.40538200000000002"/>
    <x v="192"/>
    <n v="0.25539800000000001"/>
    <n v="57715200"/>
  </r>
  <r>
    <x v="383"/>
    <n v="0.40625"/>
    <n v="0.40798600000000002"/>
    <n v="0.39496500000000001"/>
    <x v="193"/>
    <n v="0.25375799999999998"/>
    <n v="69436800"/>
  </r>
  <r>
    <x v="384"/>
    <n v="0.40277800000000002"/>
    <n v="0.40277800000000002"/>
    <n v="0.39583299999999999"/>
    <x v="187"/>
    <n v="0.25157000000000002"/>
    <n v="31651200"/>
  </r>
  <r>
    <x v="385"/>
    <n v="0.37152800000000002"/>
    <n v="0.39756900000000001"/>
    <n v="0.36805599999999999"/>
    <x v="138"/>
    <n v="0.23407"/>
    <n v="85550400"/>
  </r>
  <r>
    <x v="386"/>
    <n v="0.37152800000000002"/>
    <n v="0.40104200000000001"/>
    <n v="0.36805599999999999"/>
    <x v="190"/>
    <n v="0.25047599999999998"/>
    <n v="82008000"/>
  </r>
  <r>
    <x v="387"/>
    <n v="0.40104200000000001"/>
    <n v="0.419271"/>
    <n v="0.40104200000000001"/>
    <x v="194"/>
    <n v="0.263602"/>
    <n v="107697600"/>
  </r>
  <r>
    <x v="388"/>
    <n v="0.41666700000000001"/>
    <n v="0.43923600000000002"/>
    <n v="0.41666700000000001"/>
    <x v="195"/>
    <n v="0.26797700000000002"/>
    <n v="118440000"/>
  </r>
  <r>
    <x v="389"/>
    <n v="0.42708299999999999"/>
    <n v="0.45138899999999998"/>
    <n v="0.42534699999999998"/>
    <x v="196"/>
    <n v="0.271258"/>
    <n v="82454400"/>
  </r>
  <r>
    <x v="390"/>
    <n v="0.43055599999999999"/>
    <n v="0.453125"/>
    <n v="0.42881900000000001"/>
    <x v="197"/>
    <n v="0.28000799999999998"/>
    <n v="95544000"/>
  </r>
  <r>
    <x v="391"/>
    <n v="0.44791700000000001"/>
    <n v="0.453125"/>
    <n v="0.44184000000000001"/>
    <x v="198"/>
    <n v="0.28110200000000002"/>
    <n v="57412800"/>
  </r>
  <r>
    <x v="392"/>
    <n v="0.44444400000000001"/>
    <n v="0.46267399999999997"/>
    <n v="0.44444400000000001"/>
    <x v="199"/>
    <n v="0.289852"/>
    <n v="85680000"/>
  </r>
  <r>
    <x v="393"/>
    <n v="0.46006900000000001"/>
    <n v="0.47743099999999999"/>
    <n v="0.45833299999999999"/>
    <x v="200"/>
    <n v="0.29969600000000002"/>
    <n v="127224000"/>
  </r>
  <r>
    <x v="394"/>
    <n v="0.47916700000000001"/>
    <n v="0.50520799999999999"/>
    <n v="0.47743099999999999"/>
    <x v="201"/>
    <n v="0.31719700000000001"/>
    <n v="131644800"/>
  </r>
  <r>
    <x v="395"/>
    <n v="0.51041700000000001"/>
    <n v="0.54861099999999996"/>
    <n v="0.51041700000000001"/>
    <x v="202"/>
    <n v="0.34563500000000003"/>
    <n v="184320000"/>
  </r>
  <r>
    <x v="396"/>
    <n v="0.54861099999999996"/>
    <n v="0.55034700000000003"/>
    <n v="0.50954900000000003"/>
    <x v="203"/>
    <n v="0.32266600000000001"/>
    <n v="203040000"/>
  </r>
  <r>
    <x v="397"/>
    <n v="0.51388900000000004"/>
    <n v="0.52256899999999995"/>
    <n v="0.49652800000000002"/>
    <x v="204"/>
    <n v="0.319384"/>
    <n v="125640000"/>
  </r>
  <r>
    <x v="398"/>
    <n v="0.50868100000000005"/>
    <n v="0.515625"/>
    <n v="0.48263899999999998"/>
    <x v="205"/>
    <n v="0.31500899999999998"/>
    <n v="96940800"/>
  </r>
  <r>
    <x v="399"/>
    <n v="0.50173599999999996"/>
    <n v="0.52256899999999995"/>
    <n v="0.49826399999999998"/>
    <x v="206"/>
    <n v="0.31391599999999997"/>
    <n v="93888000"/>
  </r>
  <r>
    <x v="400"/>
    <n v="0.5"/>
    <n v="0.50694399999999995"/>
    <n v="0.47916700000000001"/>
    <x v="207"/>
    <n v="0.31282199999999999"/>
    <n v="117187200"/>
  </r>
  <r>
    <x v="401"/>
    <n v="0.50173599999999996"/>
    <n v="0.51388900000000004"/>
    <n v="0.49305599999999999"/>
    <x v="208"/>
    <n v="0.32047900000000001"/>
    <n v="96811200"/>
  </r>
  <r>
    <x v="402"/>
    <n v="0.50868100000000005"/>
    <n v="0.51909700000000003"/>
    <n v="0.49131900000000001"/>
    <x v="209"/>
    <n v="0.31172800000000001"/>
    <n v="114220800"/>
  </r>
  <r>
    <x v="403"/>
    <n v="0.48958299999999999"/>
    <n v="0.50520799999999999"/>
    <n v="0.48611100000000002"/>
    <x v="210"/>
    <n v="0.30844700000000003"/>
    <n v="128822400"/>
  </r>
  <r>
    <x v="404"/>
    <n v="0.48958299999999999"/>
    <n v="0.51736099999999996"/>
    <n v="0.44618099999999999"/>
    <x v="211"/>
    <n v="0.28328999999999999"/>
    <n v="210240000"/>
  </r>
  <r>
    <x v="405"/>
    <n v="0.42708299999999999"/>
    <n v="0.44097199999999998"/>
    <n v="0.3125"/>
    <x v="212"/>
    <n v="0.19797500000000001"/>
    <n v="146880000"/>
  </r>
  <r>
    <x v="406"/>
    <n v="0.31944400000000001"/>
    <n v="0.36111100000000002"/>
    <n v="0.29861100000000002"/>
    <x v="129"/>
    <n v="0.210006"/>
    <n v="324000000"/>
  </r>
  <r>
    <x v="407"/>
    <n v="0.359375"/>
    <n v="0.42013899999999998"/>
    <n v="0.34722199999999998"/>
    <x v="155"/>
    <n v="0.24774199999999999"/>
    <n v="262080000"/>
  </r>
  <r>
    <x v="408"/>
    <n v="0.39409699999999998"/>
    <n v="0.40277800000000002"/>
    <n v="0.35416700000000001"/>
    <x v="213"/>
    <n v="0.23297599999999999"/>
    <n v="223200000"/>
  </r>
  <r>
    <x v="409"/>
    <n v="0.36458299999999999"/>
    <n v="0.36805599999999999"/>
    <n v="0.32986100000000002"/>
    <x v="214"/>
    <n v="0.21110000000000001"/>
    <n v="112766400"/>
  </r>
  <r>
    <x v="410"/>
    <n v="0.32291700000000001"/>
    <n v="0.33333299999999999"/>
    <n v="0.25868099999999999"/>
    <x v="215"/>
    <n v="0.17172399999999999"/>
    <n v="148320000"/>
  </r>
  <r>
    <x v="411"/>
    <n v="0.28298600000000002"/>
    <n v="0.29861100000000002"/>
    <n v="0.27256900000000001"/>
    <x v="216"/>
    <n v="0.180474"/>
    <n v="234720000"/>
  </r>
  <r>
    <x v="412"/>
    <n v="0.27777800000000002"/>
    <n v="0.29513899999999998"/>
    <n v="0.26736100000000002"/>
    <x v="216"/>
    <n v="0.180474"/>
    <n v="149760000"/>
  </r>
  <r>
    <x v="413"/>
    <n v="0.28645799999999999"/>
    <n v="0.33854200000000001"/>
    <n v="0.28645799999999999"/>
    <x v="217"/>
    <n v="0.20891199999999999"/>
    <n v="167040000"/>
  </r>
  <r>
    <x v="414"/>
    <n v="0.34548600000000002"/>
    <n v="0.36284699999999998"/>
    <n v="0.33680599999999999"/>
    <x v="175"/>
    <n v="0.217663"/>
    <n v="168480000"/>
  </r>
  <r>
    <x v="415"/>
    <n v="0.34201399999999998"/>
    <n v="0.35416700000000001"/>
    <n v="0.33680599999999999"/>
    <x v="218"/>
    <n v="0.21984999999999999"/>
    <n v="84772800"/>
  </r>
  <r>
    <x v="416"/>
    <n v="0.34201399999999998"/>
    <n v="0.34722199999999998"/>
    <n v="0.30381900000000001"/>
    <x v="129"/>
    <n v="0.210006"/>
    <n v="116150400"/>
  </r>
  <r>
    <x v="417"/>
    <n v="0.32638899999999998"/>
    <n v="0.35243099999999999"/>
    <n v="0.31944400000000001"/>
    <x v="160"/>
    <n v="0.21328800000000001"/>
    <n v="95342400"/>
  </r>
  <r>
    <x v="418"/>
    <n v="0.34027800000000002"/>
    <n v="0.35590300000000002"/>
    <n v="0.33854200000000001"/>
    <x v="178"/>
    <n v="0.220944"/>
    <n v="81432000"/>
  </r>
  <r>
    <x v="419"/>
    <n v="0.34895799999999999"/>
    <n v="0.35069400000000001"/>
    <n v="0.32638899999999998"/>
    <x v="123"/>
    <n v="0.207819"/>
    <n v="75355200"/>
  </r>
  <r>
    <x v="420"/>
    <n v="0.32465300000000002"/>
    <n v="0.32986100000000002"/>
    <n v="0.31597199999999998"/>
    <x v="126"/>
    <n v="0.20563100000000001"/>
    <n v="86587200"/>
  </r>
  <r>
    <x v="421"/>
    <n v="0.32291700000000001"/>
    <n v="0.33680599999999999"/>
    <n v="0.31597199999999998"/>
    <x v="126"/>
    <n v="0.20563100000000001"/>
    <n v="91166400"/>
  </r>
  <r>
    <x v="422"/>
    <n v="0.32986100000000002"/>
    <n v="0.34201399999999998"/>
    <n v="0.328125"/>
    <x v="219"/>
    <n v="0.21438199999999999"/>
    <n v="54619200"/>
  </r>
  <r>
    <x v="423"/>
    <n v="0.35243099999999999"/>
    <n v="0.36111100000000002"/>
    <n v="0.34027800000000002"/>
    <x v="171"/>
    <n v="0.21875600000000001"/>
    <n v="99172800"/>
  </r>
  <r>
    <x v="424"/>
    <n v="0.34722199999999998"/>
    <n v="0.34895799999999999"/>
    <n v="0.33506900000000001"/>
    <x v="214"/>
    <n v="0.21110000000000001"/>
    <n v="58492800"/>
  </r>
  <r>
    <x v="425"/>
    <n v="0.33854200000000001"/>
    <n v="0.34548600000000002"/>
    <n v="0.32986100000000002"/>
    <x v="217"/>
    <n v="0.20891199999999999"/>
    <n v="59472000"/>
  </r>
  <r>
    <x v="426"/>
    <n v="0.32465300000000002"/>
    <n v="0.32986100000000002"/>
    <n v="0.31423600000000002"/>
    <x v="220"/>
    <n v="0.204538"/>
    <n v="69321600"/>
  </r>
  <r>
    <x v="427"/>
    <n v="0.32986100000000002"/>
    <n v="0.33333299999999999"/>
    <n v="0.3125"/>
    <x v="129"/>
    <n v="0.210006"/>
    <n v="89308800"/>
  </r>
  <r>
    <x v="428"/>
    <n v="0.33506900000000001"/>
    <n v="0.33680599999999999"/>
    <n v="0.31944400000000001"/>
    <x v="128"/>
    <n v="0.20235"/>
    <n v="75024000"/>
  </r>
  <r>
    <x v="429"/>
    <n v="0.31597199999999998"/>
    <n v="0.33159699999999998"/>
    <n v="0.31076399999999998"/>
    <x v="123"/>
    <n v="0.207819"/>
    <n v="82468800"/>
  </r>
  <r>
    <x v="430"/>
    <n v="0.328125"/>
    <n v="0.33854200000000001"/>
    <n v="0.32638899999999998"/>
    <x v="217"/>
    <n v="0.20891199999999999"/>
    <n v="44640000"/>
  </r>
  <r>
    <x v="431"/>
    <n v="0.33680599999999999"/>
    <n v="0.34027800000000002"/>
    <n v="0.31597199999999998"/>
    <x v="123"/>
    <n v="0.207819"/>
    <n v="72230400"/>
  </r>
  <r>
    <x v="432"/>
    <n v="0.32986100000000002"/>
    <n v="0.33159699999999998"/>
    <n v="0.31944400000000001"/>
    <x v="221"/>
    <n v="0.20125599999999999"/>
    <n v="32155200"/>
  </r>
  <r>
    <x v="433"/>
    <n v="0.31944400000000001"/>
    <n v="0.32118099999999999"/>
    <n v="0.3125"/>
    <x v="212"/>
    <n v="0.19797500000000001"/>
    <n v="18316800"/>
  </r>
  <r>
    <x v="434"/>
    <n v="0.30729200000000001"/>
    <n v="0.3125"/>
    <n v="0.28125"/>
    <x v="114"/>
    <n v="0.19578699999999999"/>
    <n v="164160000"/>
  </r>
  <r>
    <x v="435"/>
    <n v="0.30902800000000002"/>
    <n v="0.31770799999999999"/>
    <n v="0.29861100000000002"/>
    <x v="222"/>
    <n v="0.191412"/>
    <n v="73540800"/>
  </r>
  <r>
    <x v="436"/>
    <n v="0.30208299999999999"/>
    <n v="0.31076399999999998"/>
    <n v="0.296875"/>
    <x v="223"/>
    <n v="0.19250600000000001"/>
    <n v="68515200"/>
  </r>
  <r>
    <x v="437"/>
    <n v="0.30729200000000001"/>
    <n v="0.31076399999999998"/>
    <n v="0.27951399999999998"/>
    <x v="224"/>
    <n v="0.176646"/>
    <n v="127670400"/>
  </r>
  <r>
    <x v="438"/>
    <n v="0.27951399999999998"/>
    <n v="0.294271"/>
    <n v="0.27777800000000002"/>
    <x v="225"/>
    <n v="0.183756"/>
    <n v="121752000"/>
  </r>
  <r>
    <x v="439"/>
    <n v="0.29861100000000002"/>
    <n v="0.30381900000000001"/>
    <n v="0.29340300000000002"/>
    <x v="226"/>
    <n v="0.189224"/>
    <n v="66211200"/>
  </r>
  <r>
    <x v="440"/>
    <n v="0.30034699999999998"/>
    <n v="0.32986100000000002"/>
    <n v="0.29861100000000002"/>
    <x v="123"/>
    <n v="0.207819"/>
    <n v="112521600"/>
  </r>
  <r>
    <x v="441"/>
    <n v="0.328125"/>
    <n v="0.33506900000000001"/>
    <n v="0.31944400000000001"/>
    <x v="128"/>
    <n v="0.20235"/>
    <n v="83793600"/>
  </r>
  <r>
    <x v="442"/>
    <n v="0.31597199999999998"/>
    <n v="0.34375"/>
    <n v="0.30729200000000001"/>
    <x v="123"/>
    <n v="0.207819"/>
    <n v="165600000"/>
  </r>
  <r>
    <x v="443"/>
    <n v="0.33159699999999998"/>
    <n v="0.33680599999999999"/>
    <n v="0.32465300000000002"/>
    <x v="129"/>
    <n v="0.210006"/>
    <n v="72475200"/>
  </r>
  <r>
    <x v="444"/>
    <n v="0.33333299999999999"/>
    <n v="0.35416700000000001"/>
    <n v="0.33159699999999998"/>
    <x v="179"/>
    <n v="0.22203800000000001"/>
    <n v="95112000"/>
  </r>
  <r>
    <x v="445"/>
    <n v="0.35590300000000002"/>
    <n v="0.36024299999999998"/>
    <n v="0.34722199999999998"/>
    <x v="170"/>
    <n v="0.22422600000000001"/>
    <n v="112219200"/>
  </r>
  <r>
    <x v="446"/>
    <n v="0.35069400000000001"/>
    <n v="0.38020799999999999"/>
    <n v="0.34895799999999999"/>
    <x v="227"/>
    <n v="0.23735100000000001"/>
    <n v="105537600"/>
  </r>
  <r>
    <x v="447"/>
    <n v="0.38020799999999999"/>
    <n v="0.38020799999999999"/>
    <n v="0.359375"/>
    <x v="136"/>
    <n v="0.22750699999999999"/>
    <n v="94017600"/>
  </r>
  <r>
    <x v="448"/>
    <n v="0.36458299999999999"/>
    <n v="0.37326399999999998"/>
    <n v="0.36111100000000002"/>
    <x v="136"/>
    <n v="0.22750699999999999"/>
    <n v="52488000"/>
  </r>
  <r>
    <x v="449"/>
    <n v="0.36458299999999999"/>
    <n v="0.37152800000000002"/>
    <n v="0.35243099999999999"/>
    <x v="180"/>
    <n v="0.22531899999999999"/>
    <n v="51163200"/>
  </r>
  <r>
    <x v="450"/>
    <n v="0.35763899999999998"/>
    <n v="0.36805599999999999"/>
    <n v="0.34722199999999998"/>
    <x v="137"/>
    <n v="0.22969400000000001"/>
    <n v="41774400"/>
  </r>
  <r>
    <x v="451"/>
    <n v="0.36979200000000001"/>
    <n v="0.37326399999999998"/>
    <n v="0.36284699999999998"/>
    <x v="213"/>
    <n v="0.23297599999999999"/>
    <n v="60710400"/>
  </r>
  <r>
    <x v="452"/>
    <n v="0.36979200000000001"/>
    <n v="0.37326399999999998"/>
    <n v="0.36805599999999999"/>
    <x v="213"/>
    <n v="0.23297599999999999"/>
    <n v="12672000"/>
  </r>
  <r>
    <x v="453"/>
    <n v="0.36805599999999999"/>
    <n v="0.36979200000000001"/>
    <n v="0.34722199999999998"/>
    <x v="170"/>
    <n v="0.22422600000000001"/>
    <n v="50716800"/>
  </r>
  <r>
    <x v="454"/>
    <n v="0.35590300000000002"/>
    <n v="0.38194400000000001"/>
    <n v="0.35069400000000001"/>
    <x v="158"/>
    <n v="0.23844499999999999"/>
    <n v="79459200"/>
  </r>
  <r>
    <x v="455"/>
    <n v="0.37847199999999998"/>
    <n v="0.38888899999999998"/>
    <n v="0.37673600000000002"/>
    <x v="151"/>
    <n v="0.24391399999999999"/>
    <n v="70704000"/>
  </r>
  <r>
    <x v="456"/>
    <n v="0.38368099999999999"/>
    <n v="0.38715300000000002"/>
    <n v="0.37326399999999998"/>
    <x v="227"/>
    <n v="0.23735100000000001"/>
    <n v="61545600"/>
  </r>
  <r>
    <x v="457"/>
    <n v="0.38020799999999999"/>
    <n v="0.39236100000000002"/>
    <n v="0.37847199999999998"/>
    <x v="188"/>
    <n v="0.245007"/>
    <n v="110347200"/>
  </r>
  <r>
    <x v="458"/>
    <n v="0.39756900000000001"/>
    <n v="0.40277800000000002"/>
    <n v="0.39236100000000002"/>
    <x v="228"/>
    <n v="0.24938199999999999"/>
    <n v="155520000"/>
  </r>
  <r>
    <x v="459"/>
    <n v="0.39756900000000001"/>
    <n v="0.41493099999999999"/>
    <n v="0.39583299999999999"/>
    <x v="229"/>
    <n v="0.25594499999999998"/>
    <n v="121680000"/>
  </r>
  <r>
    <x v="460"/>
    <n v="0.40277800000000002"/>
    <n v="0.42100700000000002"/>
    <n v="0.39930599999999999"/>
    <x v="230"/>
    <n v="0.26469599999999999"/>
    <n v="90676800"/>
  </r>
  <r>
    <x v="461"/>
    <n v="0.41840300000000002"/>
    <n v="0.42881900000000001"/>
    <n v="0.38628499999999999"/>
    <x v="188"/>
    <n v="0.245007"/>
    <n v="145440000"/>
  </r>
  <r>
    <x v="462"/>
    <n v="0.38715300000000002"/>
    <n v="0.40277800000000002"/>
    <n v="0.38020799999999999"/>
    <x v="139"/>
    <n v="0.25321100000000002"/>
    <n v="143568000"/>
  </r>
  <r>
    <x v="463"/>
    <n v="0.40277800000000002"/>
    <n v="0.40625"/>
    <n v="0.37673600000000002"/>
    <x v="186"/>
    <n v="0.24828900000000001"/>
    <n v="168480000"/>
  </r>
  <r>
    <x v="464"/>
    <n v="0.38888899999999998"/>
    <n v="0.40625"/>
    <n v="0.38020799999999999"/>
    <x v="186"/>
    <n v="0.24828900000000001"/>
    <n v="96148800"/>
  </r>
  <r>
    <x v="465"/>
    <n v="0.39756900000000001"/>
    <n v="0.40277800000000002"/>
    <n v="0.38888899999999998"/>
    <x v="154"/>
    <n v="0.24610099999999999"/>
    <n v="40608000"/>
  </r>
  <r>
    <x v="466"/>
    <n v="0.40972199999999998"/>
    <n v="0.41145799999999999"/>
    <n v="0.40104200000000001"/>
    <x v="184"/>
    <n v="0.252664"/>
    <n v="92174400"/>
  </r>
  <r>
    <x v="467"/>
    <n v="0.40277800000000002"/>
    <n v="0.40277800000000002"/>
    <n v="0.390625"/>
    <x v="190"/>
    <n v="0.25047599999999998"/>
    <n v="30038400"/>
  </r>
  <r>
    <x v="468"/>
    <n v="0.38888899999999998"/>
    <n v="0.40451399999999998"/>
    <n v="0.38715300000000002"/>
    <x v="190"/>
    <n v="0.25047599999999998"/>
    <n v="47419200"/>
  </r>
  <r>
    <x v="469"/>
    <n v="0.39409699999999998"/>
    <n v="0.39756900000000001"/>
    <n v="0.36458299999999999"/>
    <x v="231"/>
    <n v="0.23625699999999999"/>
    <n v="208800000"/>
  </r>
  <r>
    <x v="470"/>
    <n v="0.37673600000000002"/>
    <n v="0.390625"/>
    <n v="0.37673600000000002"/>
    <x v="232"/>
    <n v="0.24063200000000001"/>
    <n v="125107200"/>
  </r>
  <r>
    <x v="471"/>
    <n v="0.38628499999999999"/>
    <n v="0.38975700000000002"/>
    <n v="0.36631900000000001"/>
    <x v="233"/>
    <n v="0.23571"/>
    <n v="75297600"/>
  </r>
  <r>
    <x v="472"/>
    <n v="0.37673600000000002"/>
    <n v="0.390625"/>
    <n v="0.37673600000000002"/>
    <x v="151"/>
    <n v="0.24391399999999999"/>
    <n v="75499200"/>
  </r>
  <r>
    <x v="473"/>
    <n v="0.38194400000000001"/>
    <n v="0.388021"/>
    <n v="0.37673600000000002"/>
    <x v="158"/>
    <n v="0.23844499999999999"/>
    <n v="43560000"/>
  </r>
  <r>
    <x v="474"/>
    <n v="0.38020799999999999"/>
    <n v="0.390625"/>
    <n v="0.38020799999999999"/>
    <x v="151"/>
    <n v="0.24391399999999999"/>
    <n v="100411200"/>
  </r>
  <r>
    <x v="475"/>
    <n v="0.38888899999999998"/>
    <n v="0.39409699999999998"/>
    <n v="0.38888899999999998"/>
    <x v="140"/>
    <n v="0.247195"/>
    <n v="29318400"/>
  </r>
  <r>
    <x v="476"/>
    <n v="0.39236100000000002"/>
    <n v="0.39583299999999999"/>
    <n v="0.37847199999999998"/>
    <x v="151"/>
    <n v="0.24391399999999999"/>
    <n v="66700800"/>
  </r>
  <r>
    <x v="477"/>
    <n v="0.39409699999999998"/>
    <n v="0.39583299999999999"/>
    <n v="0.38194400000000001"/>
    <x v="234"/>
    <n v="0.241726"/>
    <n v="48729600"/>
  </r>
  <r>
    <x v="478"/>
    <n v="0.38368099999999999"/>
    <n v="0.38888899999999998"/>
    <n v="0.38020799999999999"/>
    <x v="151"/>
    <n v="0.24391399999999999"/>
    <n v="60753600"/>
  </r>
  <r>
    <x v="479"/>
    <n v="0.38715300000000002"/>
    <n v="0.38715300000000002"/>
    <n v="0.36284699999999998"/>
    <x v="235"/>
    <n v="0.23078799999999999"/>
    <n v="75801600"/>
  </r>
  <r>
    <x v="480"/>
    <n v="0.36805599999999999"/>
    <n v="0.36979200000000001"/>
    <n v="0.34548600000000002"/>
    <x v="169"/>
    <n v="0.223132"/>
    <n v="114710400"/>
  </r>
  <r>
    <x v="481"/>
    <n v="0.36111100000000002"/>
    <n v="0.37152800000000002"/>
    <n v="0.35590300000000002"/>
    <x v="180"/>
    <n v="0.22531899999999999"/>
    <n v="94104000"/>
  </r>
  <r>
    <x v="482"/>
    <n v="0.35243099999999999"/>
    <n v="0.36458299999999999"/>
    <n v="0.35243099999999999"/>
    <x v="159"/>
    <n v="0.226413"/>
    <n v="72878400"/>
  </r>
  <r>
    <x v="483"/>
    <n v="0.36284699999999998"/>
    <n v="0.36805599999999999"/>
    <n v="0.36111100000000002"/>
    <x v="235"/>
    <n v="0.23078799999999999"/>
    <n v="49939200"/>
  </r>
  <r>
    <x v="484"/>
    <n v="0.36805599999999999"/>
    <n v="0.375"/>
    <n v="0.36458299999999999"/>
    <x v="236"/>
    <n v="0.23516300000000001"/>
    <n v="77025600"/>
  </r>
  <r>
    <x v="485"/>
    <n v="0.375"/>
    <n v="0.38020799999999999"/>
    <n v="0.37326399999999998"/>
    <x v="150"/>
    <n v="0.239538"/>
    <n v="69436800"/>
  </r>
  <r>
    <x v="486"/>
    <n v="0.38020799999999999"/>
    <n v="0.390625"/>
    <n v="0.37847199999999998"/>
    <x v="234"/>
    <n v="0.241726"/>
    <n v="80222400"/>
  </r>
  <r>
    <x v="487"/>
    <n v="0.38194400000000001"/>
    <n v="0.40104200000000001"/>
    <n v="0.37847199999999998"/>
    <x v="187"/>
    <n v="0.25157000000000002"/>
    <n v="67334400"/>
  </r>
  <r>
    <x v="488"/>
    <n v="0.40277800000000002"/>
    <n v="0.40798600000000002"/>
    <n v="0.39756900000000001"/>
    <x v="187"/>
    <n v="0.25157000000000002"/>
    <n v="101318400"/>
  </r>
  <r>
    <x v="489"/>
    <n v="0.39756900000000001"/>
    <n v="0.40972199999999998"/>
    <n v="0.39583299999999999"/>
    <x v="193"/>
    <n v="0.25375799999999998"/>
    <n v="84153600"/>
  </r>
  <r>
    <x v="490"/>
    <n v="0.40451399999999998"/>
    <n v="0.40798600000000002"/>
    <n v="0.40104200000000001"/>
    <x v="237"/>
    <n v="0.25703900000000002"/>
    <n v="53164800"/>
  </r>
  <r>
    <x v="491"/>
    <n v="0.40798600000000002"/>
    <n v="0.40972199999999998"/>
    <n v="0.40277800000000002"/>
    <x v="237"/>
    <n v="0.25703900000000002"/>
    <n v="52228800"/>
  </r>
  <r>
    <x v="492"/>
    <n v="0.40798600000000002"/>
    <n v="0.41666700000000001"/>
    <n v="0.40798600000000002"/>
    <x v="238"/>
    <n v="0.26032"/>
    <n v="91728000"/>
  </r>
  <r>
    <x v="493"/>
    <n v="0.41319400000000001"/>
    <n v="0.421875"/>
    <n v="0.41319400000000001"/>
    <x v="239"/>
    <n v="0.261961"/>
    <n v="79560000"/>
  </r>
  <r>
    <x v="494"/>
    <n v="0.41493099999999999"/>
    <n v="0.42013899999999998"/>
    <n v="0.40190999999999999"/>
    <x v="153"/>
    <n v="0.254305"/>
    <n v="61560000"/>
  </r>
  <r>
    <x v="495"/>
    <n v="0.40451399999999998"/>
    <n v="0.40798600000000002"/>
    <n v="0.39756900000000001"/>
    <x v="240"/>
    <n v="0.25485099999999999"/>
    <n v="29923200"/>
  </r>
  <r>
    <x v="496"/>
    <n v="0.40625"/>
    <n v="0.41319400000000001"/>
    <n v="0.40277800000000002"/>
    <x v="144"/>
    <n v="0.25977299999999998"/>
    <n v="39326400"/>
  </r>
  <r>
    <x v="497"/>
    <n v="0.41493099999999999"/>
    <n v="0.41666700000000001"/>
    <n v="0.40625"/>
    <x v="241"/>
    <n v="0.258133"/>
    <n v="43300800"/>
  </r>
  <r>
    <x v="498"/>
    <n v="0.40972199999999998"/>
    <n v="0.421875"/>
    <n v="0.40798600000000002"/>
    <x v="238"/>
    <n v="0.26032"/>
    <n v="67896000"/>
  </r>
  <r>
    <x v="499"/>
    <n v="0.41666700000000001"/>
    <n v="0.42708299999999999"/>
    <n v="0.41493099999999999"/>
    <x v="242"/>
    <n v="0.26688299999999998"/>
    <n v="83664000"/>
  </r>
  <r>
    <x v="500"/>
    <n v="0.42361100000000002"/>
    <n v="0.42534699999999998"/>
    <n v="0.41493099999999999"/>
    <x v="243"/>
    <n v="0.265789"/>
    <n v="68356800"/>
  </r>
  <r>
    <x v="501"/>
    <n v="0.42361100000000002"/>
    <n v="0.43576399999999998"/>
    <n v="0.421875"/>
    <x v="244"/>
    <n v="0.27399299999999999"/>
    <n v="78004800"/>
  </r>
  <r>
    <x v="502"/>
    <n v="0.4375"/>
    <n v="0.44965300000000002"/>
    <n v="0.43576399999999998"/>
    <x v="245"/>
    <n v="0.27946100000000001"/>
    <n v="96897600"/>
  </r>
  <r>
    <x v="503"/>
    <n v="0.44097199999999998"/>
    <n v="0.44791700000000001"/>
    <n v="0.43923600000000002"/>
    <x v="197"/>
    <n v="0.28000799999999998"/>
    <n v="81734400"/>
  </r>
  <r>
    <x v="504"/>
    <n v="0.44618099999999999"/>
    <n v="0.45138899999999998"/>
    <n v="0.43315999999999999"/>
    <x v="246"/>
    <n v="0.27454000000000001"/>
    <n v="97948800"/>
  </r>
  <r>
    <x v="505"/>
    <n v="0.43402800000000002"/>
    <n v="0.4375"/>
    <n v="0.42361100000000002"/>
    <x v="247"/>
    <n v="0.27344600000000002"/>
    <n v="84297600"/>
  </r>
  <r>
    <x v="506"/>
    <n v="0.43229200000000001"/>
    <n v="0.44270799999999999"/>
    <n v="0.42708299999999999"/>
    <x v="248"/>
    <n v="0.278368"/>
    <n v="46281600"/>
  </r>
  <r>
    <x v="507"/>
    <n v="0.44270799999999999"/>
    <n v="0.44270799999999999"/>
    <n v="0.43229200000000001"/>
    <x v="247"/>
    <n v="0.27344600000000002"/>
    <n v="43761600"/>
  </r>
  <r>
    <x v="508"/>
    <n v="0.43576399999999998"/>
    <n v="0.44965300000000002"/>
    <n v="0.43055599999999999"/>
    <x v="211"/>
    <n v="0.28328999999999999"/>
    <n v="54547200"/>
  </r>
  <r>
    <x v="509"/>
    <n v="0.45138899999999998"/>
    <n v="0.45486100000000002"/>
    <n v="0.44270799999999999"/>
    <x v="245"/>
    <n v="0.27946100000000001"/>
    <n v="125308800"/>
  </r>
  <r>
    <x v="510"/>
    <n v="0.44270799999999999"/>
    <n v="0.44444400000000001"/>
    <n v="0.40451399999999998"/>
    <x v="240"/>
    <n v="0.25485099999999999"/>
    <n v="169920000"/>
  </r>
  <r>
    <x v="511"/>
    <n v="0.40625"/>
    <n v="0.40798600000000002"/>
    <n v="0.39409699999999998"/>
    <x v="237"/>
    <n v="0.25703900000000002"/>
    <n v="198720000"/>
  </r>
  <r>
    <x v="512"/>
    <n v="0.40798600000000002"/>
    <n v="0.421875"/>
    <n v="0.40798600000000002"/>
    <x v="194"/>
    <n v="0.263602"/>
    <n v="115833600"/>
  </r>
  <r>
    <x v="513"/>
    <n v="0.42881900000000001"/>
    <n v="0.43315999999999999"/>
    <n v="0.40798600000000002"/>
    <x v="241"/>
    <n v="0.258133"/>
    <n v="151200000"/>
  </r>
  <r>
    <x v="514"/>
    <n v="0.40798600000000002"/>
    <n v="0.40798600000000002"/>
    <n v="0.38715300000000002"/>
    <x v="140"/>
    <n v="0.247195"/>
    <n v="159840000"/>
  </r>
  <r>
    <x v="515"/>
    <n v="0.39409699999999998"/>
    <n v="0.40017399999999997"/>
    <n v="0.38715300000000002"/>
    <x v="249"/>
    <n v="0.24555399999999999"/>
    <n v="47332800"/>
  </r>
  <r>
    <x v="516"/>
    <n v="0.38541700000000001"/>
    <n v="0.39583299999999999"/>
    <n v="0.38194400000000001"/>
    <x v="250"/>
    <n v="0.248835"/>
    <n v="67147200"/>
  </r>
  <r>
    <x v="517"/>
    <n v="0.39756900000000001"/>
    <n v="0.40451399999999998"/>
    <n v="0.390625"/>
    <x v="140"/>
    <n v="0.247195"/>
    <n v="80712000"/>
  </r>
  <r>
    <x v="518"/>
    <n v="0.39409699999999998"/>
    <n v="0.39583299999999999"/>
    <n v="0.37673600000000002"/>
    <x v="150"/>
    <n v="0.239538"/>
    <n v="100713600"/>
  </r>
  <r>
    <x v="519"/>
    <n v="0.37847199999999998"/>
    <n v="0.39236100000000002"/>
    <n v="0.37847199999999998"/>
    <x v="140"/>
    <n v="0.247195"/>
    <n v="50256000"/>
  </r>
  <r>
    <x v="520"/>
    <n v="0.38888899999999998"/>
    <n v="0.39236100000000002"/>
    <n v="0.37847199999999998"/>
    <x v="234"/>
    <n v="0.241726"/>
    <n v="47721600"/>
  </r>
  <r>
    <x v="521"/>
    <n v="0.38541700000000001"/>
    <n v="0.38888899999999998"/>
    <n v="0.37847199999999998"/>
    <x v="188"/>
    <n v="0.245007"/>
    <n v="41760000"/>
  </r>
  <r>
    <x v="522"/>
    <n v="0.38888899999999998"/>
    <n v="0.40451399999999998"/>
    <n v="0.38715300000000002"/>
    <x v="153"/>
    <n v="0.254305"/>
    <n v="75297600"/>
  </r>
  <r>
    <x v="523"/>
    <n v="0.40451399999999998"/>
    <n v="0.40798600000000002"/>
    <n v="0.39756900000000001"/>
    <x v="190"/>
    <n v="0.25047599999999998"/>
    <n v="74923200"/>
  </r>
  <r>
    <x v="524"/>
    <n v="0.39930599999999999"/>
    <n v="0.40625"/>
    <n v="0.39670100000000003"/>
    <x v="193"/>
    <n v="0.25375799999999998"/>
    <n v="57974400"/>
  </r>
  <r>
    <x v="525"/>
    <n v="0.40625"/>
    <n v="0.40625"/>
    <n v="0.39583299999999999"/>
    <x v="187"/>
    <n v="0.25157000000000002"/>
    <n v="40406400"/>
  </r>
  <r>
    <x v="526"/>
    <n v="0.39756900000000001"/>
    <n v="0.40104200000000001"/>
    <n v="0.38194400000000001"/>
    <x v="151"/>
    <n v="0.24391399999999999"/>
    <n v="52444800"/>
  </r>
  <r>
    <x v="527"/>
    <n v="0.38888899999999998"/>
    <n v="0.39583299999999999"/>
    <n v="0.38541700000000001"/>
    <x v="228"/>
    <n v="0.24938199999999999"/>
    <n v="42206400"/>
  </r>
  <r>
    <x v="528"/>
    <n v="0.38541700000000001"/>
    <n v="0.39236100000000002"/>
    <n v="0.36631900000000001"/>
    <x v="251"/>
    <n v="0.231882"/>
    <n v="110030400"/>
  </r>
  <r>
    <x v="529"/>
    <n v="0.36979200000000001"/>
    <n v="0.38194400000000001"/>
    <n v="0.36631900000000001"/>
    <x v="227"/>
    <n v="0.23735100000000001"/>
    <n v="114220800"/>
  </r>
  <r>
    <x v="530"/>
    <n v="0.375"/>
    <n v="0.38368099999999999"/>
    <n v="0.37326399999999998"/>
    <x v="150"/>
    <n v="0.239538"/>
    <n v="48052800"/>
  </r>
  <r>
    <x v="531"/>
    <n v="0.38020799999999999"/>
    <n v="0.39583299999999999"/>
    <n v="0.375"/>
    <x v="227"/>
    <n v="0.23735100000000001"/>
    <n v="75772800"/>
  </r>
  <r>
    <x v="532"/>
    <n v="0.37673600000000002"/>
    <n v="0.38194400000000001"/>
    <n v="0.37326399999999998"/>
    <x v="158"/>
    <n v="0.23844499999999999"/>
    <n v="65404800"/>
  </r>
  <r>
    <x v="533"/>
    <n v="0.38194400000000001"/>
    <n v="0.38541700000000001"/>
    <n v="0.37326399999999998"/>
    <x v="252"/>
    <n v="0.237898"/>
    <n v="63979200"/>
  </r>
  <r>
    <x v="534"/>
    <n v="0.37847199999999998"/>
    <n v="0.38715300000000002"/>
    <n v="0.37847199999999998"/>
    <x v="234"/>
    <n v="0.241726"/>
    <n v="33926400"/>
  </r>
  <r>
    <x v="535"/>
    <n v="0.38368099999999999"/>
    <n v="0.38715300000000002"/>
    <n v="0.38020799999999999"/>
    <x v="253"/>
    <n v="0.241179"/>
    <n v="23385600"/>
  </r>
  <r>
    <x v="536"/>
    <n v="0.38715300000000002"/>
    <n v="0.39236100000000002"/>
    <n v="0.38368099999999999"/>
    <x v="151"/>
    <n v="0.24391399999999999"/>
    <n v="46454400"/>
  </r>
  <r>
    <x v="537"/>
    <n v="0.38715300000000002"/>
    <n v="0.38888899999999998"/>
    <n v="0.37673600000000002"/>
    <x v="254"/>
    <n v="0.24282000000000001"/>
    <n v="47894400"/>
  </r>
  <r>
    <x v="538"/>
    <n v="0.38541700000000001"/>
    <n v="0.38715300000000002"/>
    <n v="0.38194400000000001"/>
    <x v="255"/>
    <n v="0.24227299999999999"/>
    <n v="28468800"/>
  </r>
  <r>
    <x v="539"/>
    <n v="0.38194400000000001"/>
    <n v="0.38194400000000001"/>
    <n v="0.37673600000000002"/>
    <x v="158"/>
    <n v="0.23844499999999999"/>
    <n v="64771200"/>
  </r>
  <r>
    <x v="540"/>
    <n v="0.37847199999999998"/>
    <n v="0.38368099999999999"/>
    <n v="0.37152800000000002"/>
    <x v="232"/>
    <n v="0.24063200000000001"/>
    <n v="49262400"/>
  </r>
  <r>
    <x v="541"/>
    <n v="0.38368099999999999"/>
    <n v="0.39583299999999999"/>
    <n v="0.38368099999999999"/>
    <x v="140"/>
    <n v="0.247195"/>
    <n v="62740800"/>
  </r>
  <r>
    <x v="542"/>
    <n v="0.39409699999999998"/>
    <n v="0.40104200000000001"/>
    <n v="0.38888899999999998"/>
    <x v="256"/>
    <n v="0.24992900000000001"/>
    <n v="75153600"/>
  </r>
  <r>
    <x v="543"/>
    <n v="0.39409699999999998"/>
    <n v="0.39756900000000001"/>
    <n v="0.390625"/>
    <x v="228"/>
    <n v="0.24938199999999999"/>
    <n v="24883200"/>
  </r>
  <r>
    <x v="544"/>
    <n v="0.39409699999999998"/>
    <n v="0.40277800000000002"/>
    <n v="0.39409699999999998"/>
    <x v="190"/>
    <n v="0.25047599999999998"/>
    <n v="43977600"/>
  </r>
  <r>
    <x v="545"/>
    <n v="0.39756900000000001"/>
    <n v="0.40451399999999998"/>
    <n v="0.39409699999999998"/>
    <x v="190"/>
    <n v="0.25047599999999998"/>
    <n v="34790400"/>
  </r>
  <r>
    <x v="546"/>
    <n v="0.39756900000000001"/>
    <n v="0.40017399999999997"/>
    <n v="0.390625"/>
    <x v="228"/>
    <n v="0.24938199999999999"/>
    <n v="46828800"/>
  </r>
  <r>
    <x v="547"/>
    <n v="0.39236100000000002"/>
    <n v="0.39236100000000002"/>
    <n v="0.38194400000000001"/>
    <x v="151"/>
    <n v="0.24391399999999999"/>
    <n v="59486400"/>
  </r>
  <r>
    <x v="548"/>
    <n v="0.38715300000000002"/>
    <n v="0.39236100000000002"/>
    <n v="0.38541700000000001"/>
    <x v="188"/>
    <n v="0.245007"/>
    <n v="26409600"/>
  </r>
  <r>
    <x v="549"/>
    <n v="0.39236100000000002"/>
    <n v="0.39583299999999999"/>
    <n v="0.390625"/>
    <x v="186"/>
    <n v="0.24828900000000001"/>
    <n v="17913600"/>
  </r>
  <r>
    <x v="550"/>
    <n v="0.39409699999999998"/>
    <n v="0.408854"/>
    <n v="0.39409699999999998"/>
    <x v="240"/>
    <n v="0.25485099999999999"/>
    <n v="59788800"/>
  </r>
  <r>
    <x v="551"/>
    <n v="0.40972199999999998"/>
    <n v="0.41145799999999999"/>
    <n v="0.40277800000000002"/>
    <x v="193"/>
    <n v="0.25375799999999998"/>
    <n v="70430400"/>
  </r>
  <r>
    <x v="552"/>
    <n v="0.40277800000000002"/>
    <n v="0.40538200000000002"/>
    <n v="0.39236100000000002"/>
    <x v="186"/>
    <n v="0.24828900000000001"/>
    <n v="81374400"/>
  </r>
  <r>
    <x v="553"/>
    <n v="0.38888899999999998"/>
    <n v="0.39756900000000001"/>
    <n v="0.38715300000000002"/>
    <x v="228"/>
    <n v="0.24938199999999999"/>
    <n v="57729600"/>
  </r>
  <r>
    <x v="554"/>
    <n v="0.39756900000000001"/>
    <n v="0.40104200000000001"/>
    <n v="0.38888899999999998"/>
    <x v="154"/>
    <n v="0.24610099999999999"/>
    <n v="42523200"/>
  </r>
  <r>
    <x v="555"/>
    <n v="0.390625"/>
    <n v="0.39236100000000002"/>
    <n v="0.37847199999999998"/>
    <x v="232"/>
    <n v="0.24063200000000001"/>
    <n v="50227200"/>
  </r>
  <r>
    <x v="556"/>
    <n v="0.38194400000000001"/>
    <n v="0.39409699999999998"/>
    <n v="0.38020799999999999"/>
    <x v="186"/>
    <n v="0.24828900000000001"/>
    <n v="55324800"/>
  </r>
  <r>
    <x v="557"/>
    <n v="0.39236100000000002"/>
    <n v="0.39583299999999999"/>
    <n v="0.38541700000000001"/>
    <x v="151"/>
    <n v="0.24391399999999999"/>
    <n v="53582400"/>
  </r>
  <r>
    <x v="558"/>
    <n v="0.38888899999999998"/>
    <n v="0.39583299999999999"/>
    <n v="0.38715300000000002"/>
    <x v="249"/>
    <n v="0.24555399999999999"/>
    <n v="43387200"/>
  </r>
  <r>
    <x v="559"/>
    <n v="0.390625"/>
    <n v="0.390625"/>
    <n v="0.38541700000000001"/>
    <x v="254"/>
    <n v="0.24282000000000001"/>
    <n v="33148800"/>
  </r>
  <r>
    <x v="560"/>
    <n v="0.38541700000000001"/>
    <n v="0.40451399999999998"/>
    <n v="0.38368099999999999"/>
    <x v="193"/>
    <n v="0.25375799999999998"/>
    <n v="44049600"/>
  </r>
  <r>
    <x v="561"/>
    <n v="0.40451399999999998"/>
    <n v="0.41666700000000001"/>
    <n v="0.40104200000000001"/>
    <x v="257"/>
    <n v="0.25922600000000001"/>
    <n v="95788800"/>
  </r>
  <r>
    <x v="562"/>
    <n v="0.41319400000000001"/>
    <n v="0.41666700000000001"/>
    <n v="0.40798600000000002"/>
    <x v="241"/>
    <n v="0.258133"/>
    <n v="63230400"/>
  </r>
  <r>
    <x v="563"/>
    <n v="0.40972199999999998"/>
    <n v="0.41493099999999999"/>
    <n v="0.40798600000000002"/>
    <x v="238"/>
    <n v="0.26032"/>
    <n v="34833600"/>
  </r>
  <r>
    <x v="564"/>
    <n v="0.41319400000000001"/>
    <n v="0.42361100000000002"/>
    <n v="0.41145799999999999"/>
    <x v="243"/>
    <n v="0.265789"/>
    <n v="81748800"/>
  </r>
  <r>
    <x v="565"/>
    <n v="0.42361100000000002"/>
    <n v="0.43055599999999999"/>
    <n v="0.419271"/>
    <x v="242"/>
    <n v="0.26688299999999998"/>
    <n v="82166400"/>
  </r>
  <r>
    <x v="566"/>
    <n v="0.421875"/>
    <n v="0.43402800000000002"/>
    <n v="0.421875"/>
    <x v="196"/>
    <n v="0.271258"/>
    <n v="66283200"/>
  </r>
  <r>
    <x v="567"/>
    <n v="0.43229200000000001"/>
    <n v="0.43663200000000002"/>
    <n v="0.42795100000000003"/>
    <x v="258"/>
    <n v="0.27016400000000002"/>
    <n v="69264000"/>
  </r>
  <r>
    <x v="568"/>
    <n v="0.42881900000000001"/>
    <n v="0.43576399999999998"/>
    <n v="0.42534699999999998"/>
    <x v="259"/>
    <n v="0.27235199999999998"/>
    <n v="45014400"/>
  </r>
  <r>
    <x v="569"/>
    <n v="0.43402800000000002"/>
    <n v="0.4375"/>
    <n v="0.43229200000000001"/>
    <x v="260"/>
    <n v="0.272899"/>
    <n v="31118400"/>
  </r>
  <r>
    <x v="570"/>
    <n v="0.4375"/>
    <n v="0.44097199999999998"/>
    <n v="0.43576399999999998"/>
    <x v="261"/>
    <n v="0.27563300000000002"/>
    <n v="60379200"/>
  </r>
  <r>
    <x v="571"/>
    <n v="0.43576399999999998"/>
    <n v="0.44444400000000001"/>
    <n v="0.43402800000000002"/>
    <x v="197"/>
    <n v="0.28000799999999998"/>
    <n v="51033600"/>
  </r>
  <r>
    <x v="572"/>
    <n v="0.43923600000000002"/>
    <n v="0.44270799999999999"/>
    <n v="0.4375"/>
    <x v="262"/>
    <n v="0.27782099999999998"/>
    <n v="73713600"/>
  </r>
  <r>
    <x v="573"/>
    <n v="0.44097199999999998"/>
    <n v="0.44618099999999999"/>
    <n v="0.43576399999999998"/>
    <x v="261"/>
    <n v="0.27563300000000002"/>
    <n v="42105600"/>
  </r>
  <r>
    <x v="574"/>
    <n v="0.43576399999999998"/>
    <n v="0.4375"/>
    <n v="0.43055599999999999"/>
    <x v="246"/>
    <n v="0.27454000000000001"/>
    <n v="28137600"/>
  </r>
  <r>
    <x v="575"/>
    <n v="0.43402800000000002"/>
    <n v="0.44444400000000001"/>
    <n v="0.43402800000000002"/>
    <x v="197"/>
    <n v="0.28000799999999998"/>
    <n v="39715200"/>
  </r>
  <r>
    <x v="576"/>
    <n v="0.45138899999999998"/>
    <n v="0.46875"/>
    <n v="0.44704899999999997"/>
    <x v="263"/>
    <n v="0.29313400000000001"/>
    <n v="127324800"/>
  </r>
  <r>
    <x v="577"/>
    <n v="0.46527800000000002"/>
    <n v="0.46701399999999998"/>
    <n v="0.45659699999999998"/>
    <x v="264"/>
    <n v="0.28875800000000001"/>
    <n v="41054400"/>
  </r>
  <r>
    <x v="578"/>
    <n v="0.45833299999999999"/>
    <n v="0.46006900000000001"/>
    <n v="0.45138899999999998"/>
    <x v="265"/>
    <n v="0.28547699999999998"/>
    <n v="28555200"/>
  </r>
  <r>
    <x v="579"/>
    <n v="0.453125"/>
    <n v="0.453125"/>
    <n v="0.44444400000000001"/>
    <x v="197"/>
    <n v="0.28000799999999998"/>
    <n v="23630400"/>
  </r>
  <r>
    <x v="580"/>
    <n v="0.44444400000000001"/>
    <n v="0.45833299999999999"/>
    <n v="0.44270799999999999"/>
    <x v="266"/>
    <n v="0.287665"/>
    <n v="32140800"/>
  </r>
  <r>
    <x v="581"/>
    <n v="0.45833299999999999"/>
    <n v="0.46180599999999999"/>
    <n v="0.45486100000000002"/>
    <x v="266"/>
    <n v="0.287665"/>
    <n v="49809600"/>
  </r>
  <r>
    <x v="582"/>
    <n v="0.46006900000000001"/>
    <n v="0.46527800000000002"/>
    <n v="0.45833299999999999"/>
    <x v="263"/>
    <n v="0.29313400000000001"/>
    <n v="31550400"/>
  </r>
  <r>
    <x v="583"/>
    <n v="0.46527800000000002"/>
    <n v="0.47222199999999998"/>
    <n v="0.46354200000000001"/>
    <x v="267"/>
    <n v="0.29750900000000002"/>
    <n v="42940800"/>
  </r>
  <r>
    <x v="584"/>
    <n v="0.46875"/>
    <n v="0.484375"/>
    <n v="0.46527800000000002"/>
    <x v="268"/>
    <n v="0.30461899999999997"/>
    <n v="48096000"/>
  </r>
  <r>
    <x v="585"/>
    <n v="0.484375"/>
    <n v="0.48958299999999999"/>
    <n v="0.47569400000000001"/>
    <x v="269"/>
    <n v="0.30079099999999998"/>
    <n v="89380800"/>
  </r>
  <r>
    <x v="586"/>
    <n v="0.47395799999999999"/>
    <n v="0.47916700000000001"/>
    <n v="0.47048600000000002"/>
    <x v="269"/>
    <n v="0.30079099999999998"/>
    <n v="68428800"/>
  </r>
  <r>
    <x v="587"/>
    <n v="0.47222199999999998"/>
    <n v="0.47743099999999999"/>
    <n v="0.47048600000000002"/>
    <x v="200"/>
    <n v="0.29969600000000002"/>
    <n v="40089600"/>
  </r>
  <r>
    <x v="588"/>
    <n v="0.47743099999999999"/>
    <n v="0.47743099999999999"/>
    <n v="0.46354200000000001"/>
    <x v="270"/>
    <n v="0.29204000000000002"/>
    <n v="65764800"/>
  </r>
  <r>
    <x v="589"/>
    <n v="0.46527800000000002"/>
    <n v="0.46701399999999998"/>
    <n v="0.44965300000000002"/>
    <x v="271"/>
    <n v="0.28711799999999998"/>
    <n v="90000000"/>
  </r>
  <r>
    <x v="590"/>
    <n v="0.45486100000000002"/>
    <n v="0.46354200000000001"/>
    <n v="0.45138899999999998"/>
    <x v="270"/>
    <n v="0.29204000000000002"/>
    <n v="57427200"/>
  </r>
  <r>
    <x v="591"/>
    <n v="0.46354200000000001"/>
    <n v="0.46527800000000002"/>
    <n v="0.45833299999999999"/>
    <x v="263"/>
    <n v="0.29313400000000001"/>
    <n v="34848000"/>
  </r>
  <r>
    <x v="592"/>
    <n v="0.46527800000000002"/>
    <n v="0.46701399999999998"/>
    <n v="0.46006900000000001"/>
    <x v="263"/>
    <n v="0.29313400000000001"/>
    <n v="31579200"/>
  </r>
  <r>
    <x v="593"/>
    <n v="0.46701399999999998"/>
    <n v="0.47048600000000002"/>
    <n v="0.46527800000000002"/>
    <x v="272"/>
    <n v="0.295321"/>
    <n v="20102400"/>
  </r>
  <r>
    <x v="594"/>
    <n v="0.46701399999999998"/>
    <n v="0.46875"/>
    <n v="0.45659699999999998"/>
    <x v="264"/>
    <n v="0.28875800000000001"/>
    <n v="36460800"/>
  </r>
  <r>
    <x v="595"/>
    <n v="0.46180599999999999"/>
    <n v="0.46180599999999999"/>
    <n v="0.44270799999999999"/>
    <x v="197"/>
    <n v="0.28000799999999998"/>
    <n v="111096000"/>
  </r>
  <r>
    <x v="596"/>
    <n v="0.44270799999999999"/>
    <n v="0.44444400000000001"/>
    <n v="0.42013899999999998"/>
    <x v="242"/>
    <n v="0.26688299999999998"/>
    <n v="128937600"/>
  </r>
  <r>
    <x v="597"/>
    <n v="0.421875"/>
    <n v="0.43402800000000002"/>
    <n v="0.42013899999999998"/>
    <x v="258"/>
    <n v="0.27016400000000002"/>
    <n v="68817600"/>
  </r>
  <r>
    <x v="598"/>
    <n v="0.43055599999999999"/>
    <n v="0.43402800000000002"/>
    <n v="0.41840300000000002"/>
    <x v="230"/>
    <n v="0.26469599999999999"/>
    <n v="52704000"/>
  </r>
  <r>
    <x v="599"/>
    <n v="0.40277800000000002"/>
    <n v="0.40972199999999998"/>
    <n v="0.39409699999999998"/>
    <x v="193"/>
    <n v="0.25375799999999998"/>
    <n v="228960000"/>
  </r>
  <r>
    <x v="600"/>
    <n v="0.40451399999999998"/>
    <n v="0.40972199999999998"/>
    <n v="0.39930599999999999"/>
    <x v="148"/>
    <n v="0.25211699999999998"/>
    <n v="68140800"/>
  </r>
  <r>
    <x v="601"/>
    <n v="0.39930599999999999"/>
    <n v="0.40625"/>
    <n v="0.39583299999999999"/>
    <x v="240"/>
    <n v="0.25485099999999999"/>
    <n v="57945600"/>
  </r>
  <r>
    <x v="602"/>
    <n v="0.40625"/>
    <n v="0.41666700000000001"/>
    <n v="0.40451399999999998"/>
    <x v="238"/>
    <n v="0.26032"/>
    <n v="59385600"/>
  </r>
  <r>
    <x v="603"/>
    <n v="0.41493099999999999"/>
    <n v="0.41666700000000001"/>
    <n v="0.40625"/>
    <x v="229"/>
    <n v="0.25594499999999998"/>
    <n v="51825600"/>
  </r>
  <r>
    <x v="604"/>
    <n v="0.40625"/>
    <n v="0.40798600000000002"/>
    <n v="0.39409699999999998"/>
    <x v="187"/>
    <n v="0.25157000000000002"/>
    <n v="65476800"/>
  </r>
  <r>
    <x v="605"/>
    <n v="0.39756900000000001"/>
    <n v="0.39930599999999999"/>
    <n v="0.38541700000000001"/>
    <x v="154"/>
    <n v="0.24610099999999999"/>
    <n v="91987200"/>
  </r>
  <r>
    <x v="606"/>
    <n v="0.390625"/>
    <n v="0.39236100000000002"/>
    <n v="0.38541700000000001"/>
    <x v="254"/>
    <n v="0.24282000000000001"/>
    <n v="53496000"/>
  </r>
  <r>
    <x v="607"/>
    <n v="0.38541700000000001"/>
    <n v="0.38541700000000001"/>
    <n v="0.359375"/>
    <x v="138"/>
    <n v="0.23407"/>
    <n v="201600000"/>
  </r>
  <r>
    <x v="608"/>
    <n v="0.37326399999999998"/>
    <n v="0.37326399999999998"/>
    <n v="0.36631900000000001"/>
    <x v="213"/>
    <n v="0.23297599999999999"/>
    <n v="148320000"/>
  </r>
  <r>
    <x v="609"/>
    <n v="0.36805599999999999"/>
    <n v="0.36979200000000001"/>
    <n v="0.35416700000000001"/>
    <x v="159"/>
    <n v="0.226413"/>
    <n v="138830400"/>
  </r>
  <r>
    <x v="610"/>
    <n v="0.35590300000000002"/>
    <n v="0.359375"/>
    <n v="0.34722199999999998"/>
    <x v="178"/>
    <n v="0.220944"/>
    <n v="113169600"/>
  </r>
  <r>
    <x v="611"/>
    <n v="0.35416700000000001"/>
    <n v="0.36111100000000002"/>
    <n v="0.34722199999999998"/>
    <x v="159"/>
    <n v="0.226413"/>
    <n v="123105600"/>
  </r>
  <r>
    <x v="612"/>
    <n v="0.359375"/>
    <n v="0.36284699999999998"/>
    <n v="0.35763899999999998"/>
    <x v="136"/>
    <n v="0.22750699999999999"/>
    <n v="58262400"/>
  </r>
  <r>
    <x v="613"/>
    <n v="0.36111100000000002"/>
    <n v="0.36284699999999998"/>
    <n v="0.34722199999999998"/>
    <x v="179"/>
    <n v="0.22203800000000001"/>
    <n v="41083200"/>
  </r>
  <r>
    <x v="614"/>
    <n v="0.35069400000000001"/>
    <n v="0.36631900000000001"/>
    <n v="0.34895799999999999"/>
    <x v="137"/>
    <n v="0.22969400000000001"/>
    <n v="90878400"/>
  </r>
  <r>
    <x v="615"/>
    <n v="0.36458299999999999"/>
    <n v="0.37413200000000002"/>
    <n v="0.356771"/>
    <x v="137"/>
    <n v="0.22969400000000001"/>
    <n v="59112000"/>
  </r>
  <r>
    <x v="616"/>
    <n v="0.36631900000000001"/>
    <n v="0.36979200000000001"/>
    <n v="0.36458299999999999"/>
    <x v="235"/>
    <n v="0.23078799999999999"/>
    <n v="32025600"/>
  </r>
  <r>
    <x v="617"/>
    <n v="0.36631900000000001"/>
    <n v="0.36805599999999999"/>
    <n v="0.34895799999999999"/>
    <x v="178"/>
    <n v="0.220944"/>
    <n v="67377600"/>
  </r>
  <r>
    <x v="618"/>
    <n v="0.34895799999999999"/>
    <n v="0.35069400000000001"/>
    <n v="0.33159699999999998"/>
    <x v="129"/>
    <n v="0.210006"/>
    <n v="110174400"/>
  </r>
  <r>
    <x v="619"/>
    <n v="0.33506900000000001"/>
    <n v="0.34548600000000002"/>
    <n v="0.33159699999999998"/>
    <x v="273"/>
    <n v="0.21602199999999999"/>
    <n v="88315200"/>
  </r>
  <r>
    <x v="620"/>
    <n v="0.34375"/>
    <n v="0.35850700000000002"/>
    <n v="0.34201399999999998"/>
    <x v="180"/>
    <n v="0.22531899999999999"/>
    <n v="102585600"/>
  </r>
  <r>
    <x v="621"/>
    <n v="0.34895799999999999"/>
    <n v="0.35763899999999998"/>
    <n v="0.34722199999999998"/>
    <x v="179"/>
    <n v="0.22203800000000001"/>
    <n v="72633600"/>
  </r>
  <r>
    <x v="622"/>
    <n v="0.35243099999999999"/>
    <n v="0.359375"/>
    <n v="0.35243099999999999"/>
    <x v="166"/>
    <n v="0.224772"/>
    <n v="24451200"/>
  </r>
  <r>
    <x v="623"/>
    <n v="0.36111100000000002"/>
    <n v="0.36458299999999999"/>
    <n v="0.359375"/>
    <x v="168"/>
    <n v="0.22805400000000001"/>
    <n v="35035200"/>
  </r>
  <r>
    <x v="624"/>
    <n v="0.36111100000000002"/>
    <n v="0.36284699999999998"/>
    <n v="0.35416700000000001"/>
    <x v="170"/>
    <n v="0.22422600000000001"/>
    <n v="20966400"/>
  </r>
  <r>
    <x v="625"/>
    <n v="0.35763899999999998"/>
    <n v="0.359375"/>
    <n v="0.34201399999999998"/>
    <x v="171"/>
    <n v="0.21875600000000001"/>
    <n v="71884800"/>
  </r>
  <r>
    <x v="626"/>
    <n v="0.34375"/>
    <n v="0.34548600000000002"/>
    <n v="0.33333299999999999"/>
    <x v="176"/>
    <n v="0.213835"/>
    <n v="82382400"/>
  </r>
  <r>
    <x v="627"/>
    <n v="0.34548600000000002"/>
    <n v="0.359375"/>
    <n v="0.34375"/>
    <x v="180"/>
    <n v="0.22531899999999999"/>
    <n v="115329600"/>
  </r>
  <r>
    <x v="628"/>
    <n v="0.35763899999999998"/>
    <n v="0.36458299999999999"/>
    <n v="0.35590300000000002"/>
    <x v="136"/>
    <n v="0.22750699999999999"/>
    <n v="67752000"/>
  </r>
  <r>
    <x v="629"/>
    <n v="0.36284699999999998"/>
    <n v="0.36631900000000001"/>
    <n v="0.35243099999999999"/>
    <x v="159"/>
    <n v="0.226413"/>
    <n v="72115200"/>
  </r>
  <r>
    <x v="630"/>
    <n v="0.35763899999999998"/>
    <n v="0.36979200000000001"/>
    <n v="0.35590300000000002"/>
    <x v="136"/>
    <n v="0.22750699999999999"/>
    <n v="69206400"/>
  </r>
  <r>
    <x v="631"/>
    <n v="0.359375"/>
    <n v="0.38020799999999999"/>
    <n v="0.35763899999999998"/>
    <x v="231"/>
    <n v="0.23625699999999999"/>
    <n v="111124800"/>
  </r>
  <r>
    <x v="632"/>
    <n v="0.37326399999999998"/>
    <n v="0.38194400000000001"/>
    <n v="0.37152800000000002"/>
    <x v="236"/>
    <n v="0.23516300000000001"/>
    <n v="43257600"/>
  </r>
  <r>
    <x v="633"/>
    <n v="0.36979200000000001"/>
    <n v="0.37673600000000002"/>
    <n v="0.36631900000000001"/>
    <x v="231"/>
    <n v="0.23625699999999999"/>
    <n v="40608000"/>
  </r>
  <r>
    <x v="634"/>
    <n v="0.38107600000000003"/>
    <n v="0.38368099999999999"/>
    <n v="0.37326399999999998"/>
    <x v="231"/>
    <n v="0.23625699999999999"/>
    <n v="79214400"/>
  </r>
  <r>
    <x v="635"/>
    <n v="0.375"/>
    <n v="0.37673600000000002"/>
    <n v="0.36111100000000002"/>
    <x v="165"/>
    <n v="0.2286"/>
    <n v="72921600"/>
  </r>
  <r>
    <x v="636"/>
    <n v="0.36284699999999998"/>
    <n v="0.36458299999999999"/>
    <n v="0.359375"/>
    <x v="136"/>
    <n v="0.22750699999999999"/>
    <n v="48700800"/>
  </r>
  <r>
    <x v="637"/>
    <n v="0.36458299999999999"/>
    <n v="0.36458299999999999"/>
    <n v="0.35416700000000001"/>
    <x v="159"/>
    <n v="0.226413"/>
    <n v="44697600"/>
  </r>
  <r>
    <x v="638"/>
    <n v="0.36111100000000002"/>
    <n v="0.36979200000000001"/>
    <n v="0.359375"/>
    <x v="213"/>
    <n v="0.23297599999999999"/>
    <n v="53625600"/>
  </r>
  <r>
    <x v="639"/>
    <n v="0.37152800000000002"/>
    <n v="0.375"/>
    <n v="0.37152800000000002"/>
    <x v="236"/>
    <n v="0.23516300000000001"/>
    <n v="16056000"/>
  </r>
  <r>
    <x v="640"/>
    <n v="0.375"/>
    <n v="0.38194400000000001"/>
    <n v="0.37326399999999998"/>
    <x v="158"/>
    <n v="0.23844499999999999"/>
    <n v="59688000"/>
  </r>
  <r>
    <x v="641"/>
    <n v="0.37847199999999998"/>
    <n v="0.37847199999999998"/>
    <n v="0.37326399999999998"/>
    <x v="236"/>
    <n v="0.23516300000000001"/>
    <n v="35092800"/>
  </r>
  <r>
    <x v="642"/>
    <n v="0.37326399999999998"/>
    <n v="0.375"/>
    <n v="0.359375"/>
    <x v="167"/>
    <n v="0.22914699999999999"/>
    <n v="50212800"/>
  </r>
  <r>
    <x v="643"/>
    <n v="0.36111100000000002"/>
    <n v="0.36284699999999998"/>
    <n v="0.35763899999999998"/>
    <x v="136"/>
    <n v="0.22750699999999999"/>
    <n v="35366400"/>
  </r>
  <r>
    <x v="644"/>
    <n v="0.36284699999999998"/>
    <n v="0.36805599999999999"/>
    <n v="0.359375"/>
    <x v="251"/>
    <n v="0.231882"/>
    <n v="25516800"/>
  </r>
  <r>
    <x v="645"/>
    <n v="0.36631900000000001"/>
    <n v="0.37152800000000002"/>
    <n v="0.36458299999999999"/>
    <x v="251"/>
    <n v="0.231882"/>
    <n v="56462400"/>
  </r>
  <r>
    <x v="646"/>
    <n v="0.36631900000000001"/>
    <n v="0.36805599999999999"/>
    <n v="0.359375"/>
    <x v="165"/>
    <n v="0.2286"/>
    <n v="37252800"/>
  </r>
  <r>
    <x v="647"/>
    <n v="0.35590300000000002"/>
    <n v="0.359375"/>
    <n v="0.35069400000000001"/>
    <x v="166"/>
    <n v="0.224772"/>
    <n v="41097600"/>
  </r>
  <r>
    <x v="648"/>
    <n v="0.35763899999999998"/>
    <n v="0.36111100000000002"/>
    <n v="0.35329899999999997"/>
    <x v="174"/>
    <n v="0.22367899999999999"/>
    <n v="29260800"/>
  </r>
  <r>
    <x v="649"/>
    <n v="0.35590300000000002"/>
    <n v="0.35590300000000002"/>
    <n v="0.34722199999999998"/>
    <x v="218"/>
    <n v="0.21984999999999999"/>
    <n v="67089600"/>
  </r>
  <r>
    <x v="650"/>
    <n v="0.34895799999999999"/>
    <n v="0.35243099999999999"/>
    <n v="0.34722199999999998"/>
    <x v="171"/>
    <n v="0.21875600000000001"/>
    <n v="33609600"/>
  </r>
  <r>
    <x v="651"/>
    <n v="0.34722199999999998"/>
    <n v="0.34895799999999999"/>
    <n v="0.33246500000000001"/>
    <x v="175"/>
    <n v="0.217663"/>
    <n v="208065600"/>
  </r>
  <r>
    <x v="652"/>
    <n v="0.34722199999999998"/>
    <n v="0.34722199999999998"/>
    <n v="0.33159699999999998"/>
    <x v="130"/>
    <n v="0.215475"/>
    <n v="106358400"/>
  </r>
  <r>
    <x v="653"/>
    <n v="0.34548600000000002"/>
    <n v="0.35069400000000001"/>
    <n v="0.34027800000000002"/>
    <x v="175"/>
    <n v="0.217663"/>
    <n v="65952000"/>
  </r>
  <r>
    <x v="654"/>
    <n v="0.34375"/>
    <n v="0.359375"/>
    <n v="0.34027800000000002"/>
    <x v="274"/>
    <n v="0.22149099999999999"/>
    <n v="137534400"/>
  </r>
  <r>
    <x v="655"/>
    <n v="0.34982600000000003"/>
    <n v="0.36284699999999998"/>
    <n v="0.34895799999999999"/>
    <x v="180"/>
    <n v="0.22531899999999999"/>
    <n v="82468800"/>
  </r>
  <r>
    <x v="656"/>
    <n v="0.36111100000000002"/>
    <n v="0.36284699999999998"/>
    <n v="0.35416700000000001"/>
    <x v="170"/>
    <n v="0.22422600000000001"/>
    <n v="56764800"/>
  </r>
  <r>
    <x v="657"/>
    <n v="0.35590300000000002"/>
    <n v="0.36458299999999999"/>
    <n v="0.35590300000000002"/>
    <x v="136"/>
    <n v="0.22750699999999999"/>
    <n v="25675200"/>
  </r>
  <r>
    <x v="658"/>
    <n v="0.359375"/>
    <n v="0.36631900000000001"/>
    <n v="0.35590300000000002"/>
    <x v="137"/>
    <n v="0.22969400000000001"/>
    <n v="37224000"/>
  </r>
  <r>
    <x v="659"/>
    <n v="0.37152800000000002"/>
    <n v="0.37326399999999998"/>
    <n v="0.36284699999999998"/>
    <x v="213"/>
    <n v="0.23297599999999999"/>
    <n v="80683200"/>
  </r>
  <r>
    <x v="660"/>
    <n v="0.36631900000000001"/>
    <n v="0.375"/>
    <n v="0.36631900000000001"/>
    <x v="138"/>
    <n v="0.23407"/>
    <n v="73296000"/>
  </r>
  <r>
    <x v="661"/>
    <n v="0.36805599999999999"/>
    <n v="0.37152800000000002"/>
    <n v="0.36458299999999999"/>
    <x v="251"/>
    <n v="0.231882"/>
    <n v="24264000"/>
  </r>
  <r>
    <x v="662"/>
    <n v="0.36979200000000001"/>
    <n v="0.36979200000000001"/>
    <n v="0.36024299999999998"/>
    <x v="136"/>
    <n v="0.22750699999999999"/>
    <n v="28627200"/>
  </r>
  <r>
    <x v="663"/>
    <n v="0.36111100000000002"/>
    <n v="0.36284699999999998"/>
    <n v="0.34722199999999998"/>
    <x v="178"/>
    <n v="0.220944"/>
    <n v="74548800"/>
  </r>
  <r>
    <x v="664"/>
    <n v="0.34895799999999999"/>
    <n v="0.35069400000000001"/>
    <n v="0.33680599999999999"/>
    <x v="175"/>
    <n v="0.217663"/>
    <n v="157420800"/>
  </r>
  <r>
    <x v="665"/>
    <n v="0.34201399999999998"/>
    <n v="0.34375"/>
    <n v="0.33159699999999998"/>
    <x v="133"/>
    <n v="0.21656900000000001"/>
    <n v="114336000"/>
  </r>
  <r>
    <x v="666"/>
    <n v="0.34201399999999998"/>
    <n v="0.34548600000000002"/>
    <n v="0.33680599999999999"/>
    <x v="133"/>
    <n v="0.21656900000000001"/>
    <n v="46540800"/>
  </r>
  <r>
    <x v="667"/>
    <n v="0.34201399999999998"/>
    <n v="0.34201399999999998"/>
    <n v="0.33680599999999999"/>
    <x v="219"/>
    <n v="0.21438199999999999"/>
    <n v="41284800"/>
  </r>
  <r>
    <x v="668"/>
    <n v="0.34027800000000002"/>
    <n v="0.34548600000000002"/>
    <n v="0.33854200000000001"/>
    <x v="160"/>
    <n v="0.21328800000000001"/>
    <n v="53280000"/>
  </r>
  <r>
    <x v="669"/>
    <n v="0.33854200000000001"/>
    <n v="0.33854200000000001"/>
    <n v="0.32465300000000002"/>
    <x v="275"/>
    <n v="0.20672499999999999"/>
    <n v="221803200"/>
  </r>
  <r>
    <x v="670"/>
    <n v="0.328125"/>
    <n v="0.33159699999999998"/>
    <n v="0.32031300000000001"/>
    <x v="275"/>
    <n v="0.20672499999999999"/>
    <n v="118339200"/>
  </r>
  <r>
    <x v="671"/>
    <n v="0.32291700000000001"/>
    <n v="0.33159699999999998"/>
    <n v="0.32291700000000001"/>
    <x v="276"/>
    <n v="0.20344400000000001"/>
    <n v="106603200"/>
  </r>
  <r>
    <x v="672"/>
    <n v="0.32291700000000001"/>
    <n v="0.32638899999999998"/>
    <n v="0.31944400000000001"/>
    <x v="220"/>
    <n v="0.204538"/>
    <n v="55065600"/>
  </r>
  <r>
    <x v="673"/>
    <n v="0.328125"/>
    <n v="0.34027800000000002"/>
    <n v="0.32638899999999998"/>
    <x v="132"/>
    <n v="0.21274100000000001"/>
    <n v="56606400"/>
  </r>
  <r>
    <x v="674"/>
    <n v="0.33333299999999999"/>
    <n v="0.34722199999999998"/>
    <n v="0.33159699999999998"/>
    <x v="175"/>
    <n v="0.217663"/>
    <n v="124732800"/>
  </r>
  <r>
    <x v="675"/>
    <n v="0.34548600000000002"/>
    <n v="0.35069400000000001"/>
    <n v="0.34027800000000002"/>
    <x v="219"/>
    <n v="0.21438199999999999"/>
    <n v="78796800"/>
  </r>
  <r>
    <x v="676"/>
    <n v="0.33680599999999999"/>
    <n v="0.34027800000000002"/>
    <n v="0.32986100000000002"/>
    <x v="277"/>
    <n v="0.20836499999999999"/>
    <n v="54936000"/>
  </r>
  <r>
    <x v="677"/>
    <n v="0.33333299999999999"/>
    <n v="0.33854200000000001"/>
    <n v="0.32986100000000002"/>
    <x v="173"/>
    <n v="0.21219399999999999"/>
    <n v="34329600"/>
  </r>
  <r>
    <x v="678"/>
    <n v="0.33680599999999999"/>
    <n v="0.33680599999999999"/>
    <n v="0.32291700000000001"/>
    <x v="126"/>
    <n v="0.20563100000000001"/>
    <n v="93902400"/>
  </r>
  <r>
    <x v="679"/>
    <n v="0.32725700000000002"/>
    <n v="0.328125"/>
    <n v="0.31597199999999998"/>
    <x v="128"/>
    <n v="0.20235"/>
    <n v="199008000"/>
  </r>
  <r>
    <x v="680"/>
    <n v="0.32118099999999999"/>
    <n v="0.32465300000000002"/>
    <n v="0.31770799999999999"/>
    <x v="221"/>
    <n v="0.20125599999999999"/>
    <n v="65865600"/>
  </r>
  <r>
    <x v="681"/>
    <n v="0.32118099999999999"/>
    <n v="0.32465300000000002"/>
    <n v="0.31770799999999999"/>
    <x v="172"/>
    <n v="0.20399100000000001"/>
    <n v="34430400"/>
  </r>
  <r>
    <x v="682"/>
    <n v="0.31944400000000001"/>
    <n v="0.32118099999999999"/>
    <n v="0.31423600000000002"/>
    <x v="221"/>
    <n v="0.20125599999999999"/>
    <n v="47102400"/>
  </r>
  <r>
    <x v="683"/>
    <n v="0.31944400000000001"/>
    <n v="0.32291700000000001"/>
    <n v="0.31597199999999998"/>
    <x v="221"/>
    <n v="0.20125599999999999"/>
    <n v="30312000"/>
  </r>
  <r>
    <x v="684"/>
    <n v="0.32118099999999999"/>
    <n v="0.32638899999999998"/>
    <n v="0.31944400000000001"/>
    <x v="177"/>
    <n v="0.20508399999999999"/>
    <n v="56548800"/>
  </r>
  <r>
    <x v="685"/>
    <n v="0.32118099999999999"/>
    <n v="0.32291700000000001"/>
    <n v="0.31770799999999999"/>
    <x v="278"/>
    <n v="0.20289699999999999"/>
    <n v="11462400"/>
  </r>
  <r>
    <x v="686"/>
    <n v="0.32118099999999999"/>
    <n v="0.32986100000000002"/>
    <n v="0.32118099999999999"/>
    <x v="126"/>
    <n v="0.20563100000000001"/>
    <n v="58737600"/>
  </r>
  <r>
    <x v="687"/>
    <n v="0.32638899999999998"/>
    <n v="0.32986100000000002"/>
    <n v="0.32465300000000002"/>
    <x v="123"/>
    <n v="0.207819"/>
    <n v="21873600"/>
  </r>
  <r>
    <x v="688"/>
    <n v="0.328125"/>
    <n v="0.33159699999999998"/>
    <n v="0.328125"/>
    <x v="275"/>
    <n v="0.20672499999999999"/>
    <n v="35193600"/>
  </r>
  <r>
    <x v="689"/>
    <n v="0.32986100000000002"/>
    <n v="0.34375"/>
    <n v="0.32638899999999998"/>
    <x v="219"/>
    <n v="0.21438199999999999"/>
    <n v="82008000"/>
  </r>
  <r>
    <x v="690"/>
    <n v="0.33680599999999999"/>
    <n v="0.34895799999999999"/>
    <n v="0.33680599999999999"/>
    <x v="175"/>
    <n v="0.217663"/>
    <n v="91497600"/>
  </r>
  <r>
    <x v="691"/>
    <n v="0.34548600000000002"/>
    <n v="0.35069400000000001"/>
    <n v="0.33854200000000001"/>
    <x v="133"/>
    <n v="0.21656900000000001"/>
    <n v="70142400"/>
  </r>
  <r>
    <x v="692"/>
    <n v="0.34375"/>
    <n v="0.34548600000000002"/>
    <n v="0.34027800000000002"/>
    <x v="175"/>
    <n v="0.217663"/>
    <n v="44366400"/>
  </r>
  <r>
    <x v="693"/>
    <n v="0.34375"/>
    <n v="0.34722199999999998"/>
    <n v="0.341146"/>
    <x v="130"/>
    <n v="0.215475"/>
    <n v="30888000"/>
  </r>
  <r>
    <x v="694"/>
    <n v="0.34201399999999998"/>
    <n v="0.34375"/>
    <n v="0.33854200000000001"/>
    <x v="219"/>
    <n v="0.21438199999999999"/>
    <n v="40176000"/>
  </r>
  <r>
    <x v="695"/>
    <n v="0.33854200000000001"/>
    <n v="0.34201399999999998"/>
    <n v="0.33680599999999999"/>
    <x v="219"/>
    <n v="0.21438199999999999"/>
    <n v="22305600"/>
  </r>
  <r>
    <x v="696"/>
    <n v="0.33854200000000001"/>
    <n v="0.34027800000000002"/>
    <n v="0.32899299999999998"/>
    <x v="279"/>
    <n v="0.20727200000000001"/>
    <n v="38894400"/>
  </r>
  <r>
    <x v="697"/>
    <n v="0.328125"/>
    <n v="0.33159699999999998"/>
    <n v="0.328125"/>
    <x v="217"/>
    <n v="0.20891199999999999"/>
    <n v="39168000"/>
  </r>
  <r>
    <x v="698"/>
    <n v="0.33159699999999998"/>
    <n v="0.33854200000000001"/>
    <n v="0.32986100000000002"/>
    <x v="121"/>
    <n v="0.211647"/>
    <n v="28008000"/>
  </r>
  <r>
    <x v="699"/>
    <n v="0.34027800000000002"/>
    <n v="0.34201399999999998"/>
    <n v="0.33680599999999999"/>
    <x v="219"/>
    <n v="0.21438199999999999"/>
    <n v="23198400"/>
  </r>
  <r>
    <x v="700"/>
    <n v="0.33854200000000001"/>
    <n v="0.34895799999999999"/>
    <n v="0.33854200000000001"/>
    <x v="175"/>
    <n v="0.217663"/>
    <n v="51796800"/>
  </r>
  <r>
    <x v="701"/>
    <n v="0.35156300000000001"/>
    <n v="0.35763899999999998"/>
    <n v="0.35069400000000001"/>
    <x v="179"/>
    <n v="0.22203800000000001"/>
    <n v="83534400"/>
  </r>
  <r>
    <x v="702"/>
    <n v="0.356771"/>
    <n v="0.36458299999999999"/>
    <n v="0.35416700000000001"/>
    <x v="170"/>
    <n v="0.22422600000000001"/>
    <n v="92188800"/>
  </r>
  <r>
    <x v="703"/>
    <n v="0.35763899999999998"/>
    <n v="0.36458299999999999"/>
    <n v="0.35590300000000002"/>
    <x v="165"/>
    <n v="0.2286"/>
    <n v="46440000"/>
  </r>
  <r>
    <x v="704"/>
    <n v="0.36458299999999999"/>
    <n v="0.36805599999999999"/>
    <n v="0.359375"/>
    <x v="136"/>
    <n v="0.22750699999999999"/>
    <n v="74592000"/>
  </r>
  <r>
    <x v="705"/>
    <n v="0.359375"/>
    <n v="0.36111100000000002"/>
    <n v="0.35763899999999998"/>
    <x v="136"/>
    <n v="0.22750699999999999"/>
    <n v="17121600"/>
  </r>
  <r>
    <x v="706"/>
    <n v="0.36111100000000002"/>
    <n v="0.36458299999999999"/>
    <n v="0.359375"/>
    <x v="159"/>
    <n v="0.226413"/>
    <n v="30772800"/>
  </r>
  <r>
    <x v="707"/>
    <n v="0.36111100000000002"/>
    <n v="0.36284699999999998"/>
    <n v="0.359375"/>
    <x v="165"/>
    <n v="0.2286"/>
    <n v="21268800"/>
  </r>
  <r>
    <x v="708"/>
    <n v="0.36111100000000002"/>
    <n v="0.37152800000000002"/>
    <n v="0.36111100000000002"/>
    <x v="213"/>
    <n v="0.23297599999999999"/>
    <n v="38275200"/>
  </r>
  <r>
    <x v="709"/>
    <n v="0.37152800000000002"/>
    <n v="0.37673600000000002"/>
    <n v="0.36979200000000001"/>
    <x v="213"/>
    <n v="0.23297599999999999"/>
    <n v="63820800"/>
  </r>
  <r>
    <x v="710"/>
    <n v="0.37152800000000002"/>
    <n v="0.37326399999999998"/>
    <n v="0.36631900000000001"/>
    <x v="280"/>
    <n v="0.23461699999999999"/>
    <n v="51825600"/>
  </r>
  <r>
    <x v="711"/>
    <n v="0.37152800000000002"/>
    <n v="0.38107600000000003"/>
    <n v="0.37152800000000002"/>
    <x v="227"/>
    <n v="0.23735100000000001"/>
    <n v="53899200"/>
  </r>
  <r>
    <x v="712"/>
    <n v="0.38020799999999999"/>
    <n v="0.38020799999999999"/>
    <n v="0.36979200000000001"/>
    <x v="281"/>
    <n v="0.23352300000000001"/>
    <n v="47246400"/>
  </r>
  <r>
    <x v="713"/>
    <n v="0.37152800000000002"/>
    <n v="0.37326399999999998"/>
    <n v="0.36805599999999999"/>
    <x v="251"/>
    <n v="0.231882"/>
    <n v="59054400"/>
  </r>
  <r>
    <x v="714"/>
    <n v="0.36805599999999999"/>
    <n v="0.36979200000000001"/>
    <n v="0.361979"/>
    <x v="137"/>
    <n v="0.22969400000000001"/>
    <n v="46008000"/>
  </r>
  <r>
    <x v="715"/>
    <n v="0.36284699999999998"/>
    <n v="0.36458299999999999"/>
    <n v="0.359375"/>
    <x v="136"/>
    <n v="0.22750699999999999"/>
    <n v="54129600"/>
  </r>
  <r>
    <x v="716"/>
    <n v="0.36024299999999998"/>
    <n v="0.36458299999999999"/>
    <n v="0.35763899999999998"/>
    <x v="137"/>
    <n v="0.22969400000000001"/>
    <n v="48297600"/>
  </r>
  <r>
    <x v="717"/>
    <n v="0.36284699999999998"/>
    <n v="0.37326399999999998"/>
    <n v="0.36284699999999998"/>
    <x v="137"/>
    <n v="0.22969400000000001"/>
    <n v="54590400"/>
  </r>
  <r>
    <x v="718"/>
    <n v="0.36458299999999999"/>
    <n v="0.36979200000000001"/>
    <n v="0.36458299999999999"/>
    <x v="251"/>
    <n v="0.231882"/>
    <n v="35568000"/>
  </r>
  <r>
    <x v="719"/>
    <n v="0.36979200000000001"/>
    <n v="0.37586799999999998"/>
    <n v="0.36631900000000001"/>
    <x v="134"/>
    <n v="0.232429"/>
    <n v="27532800"/>
  </r>
  <r>
    <x v="720"/>
    <n v="0.36545100000000003"/>
    <n v="0.36718800000000001"/>
    <n v="0.35590300000000002"/>
    <x v="180"/>
    <n v="0.22531899999999999"/>
    <n v="41745600"/>
  </r>
  <r>
    <x v="721"/>
    <n v="0.359375"/>
    <n v="0.359375"/>
    <n v="0.34895799999999999"/>
    <x v="180"/>
    <n v="0.22531899999999999"/>
    <n v="63633600"/>
  </r>
  <r>
    <x v="722"/>
    <n v="0.36284699999999998"/>
    <n v="0.37326399999999998"/>
    <n v="0.36284699999999998"/>
    <x v="138"/>
    <n v="0.23407"/>
    <n v="84297600"/>
  </r>
  <r>
    <x v="723"/>
    <n v="0.37152800000000002"/>
    <n v="0.377604"/>
    <n v="0.36979200000000001"/>
    <x v="152"/>
    <n v="0.23680399999999999"/>
    <n v="61027200"/>
  </r>
  <r>
    <x v="724"/>
    <n v="0.375"/>
    <n v="0.375"/>
    <n v="0.36718800000000001"/>
    <x v="251"/>
    <n v="0.231882"/>
    <n v="52228800"/>
  </r>
  <r>
    <x v="725"/>
    <n v="0.36805599999999999"/>
    <n v="0.37152800000000002"/>
    <n v="0.36458299999999999"/>
    <x v="235"/>
    <n v="0.23078799999999999"/>
    <n v="56217600"/>
  </r>
  <r>
    <x v="726"/>
    <n v="0.36805599999999999"/>
    <n v="0.36979200000000001"/>
    <n v="0.36458299999999999"/>
    <x v="251"/>
    <n v="0.231882"/>
    <n v="49046400"/>
  </r>
  <r>
    <x v="727"/>
    <n v="0.36545100000000003"/>
    <n v="0.37847199999999998"/>
    <n v="0.36458299999999999"/>
    <x v="227"/>
    <n v="0.23735100000000001"/>
    <n v="87134400"/>
  </r>
  <r>
    <x v="728"/>
    <n v="0.37586799999999998"/>
    <n v="0.39236100000000002"/>
    <n v="0.37326399999999998"/>
    <x v="255"/>
    <n v="0.24227299999999999"/>
    <n v="166420800"/>
  </r>
  <r>
    <x v="729"/>
    <n v="0.38541700000000001"/>
    <n v="0.40798600000000002"/>
    <n v="0.38368099999999999"/>
    <x v="229"/>
    <n v="0.25594499999999998"/>
    <n v="110088000"/>
  </r>
  <r>
    <x v="730"/>
    <n v="0.40972199999999998"/>
    <n v="0.41840300000000002"/>
    <n v="0.40625"/>
    <x v="147"/>
    <n v="0.26086700000000002"/>
    <n v="125092800"/>
  </r>
  <r>
    <x v="731"/>
    <n v="0.41319400000000001"/>
    <n v="0.41493099999999999"/>
    <n v="0.40972199999999998"/>
    <x v="257"/>
    <n v="0.25922600000000001"/>
    <n v="131212800"/>
  </r>
  <r>
    <x v="732"/>
    <n v="0.41319400000000001"/>
    <n v="0.4375"/>
    <n v="0.41145799999999999"/>
    <x v="145"/>
    <n v="0.26633600000000002"/>
    <n v="180028800"/>
  </r>
  <r>
    <x v="733"/>
    <n v="0.42013899999999998"/>
    <n v="0.43402800000000002"/>
    <n v="0.41666700000000001"/>
    <x v="242"/>
    <n v="0.26688299999999998"/>
    <n v="91324800"/>
  </r>
  <r>
    <x v="734"/>
    <n v="0.421875"/>
    <n v="0.42361100000000002"/>
    <n v="0.41493099999999999"/>
    <x v="230"/>
    <n v="0.26469599999999999"/>
    <n v="87580800"/>
  </r>
  <r>
    <x v="735"/>
    <n v="0.42100700000000002"/>
    <n v="0.43402800000000002"/>
    <n v="0.42013899999999998"/>
    <x v="282"/>
    <n v="0.27180500000000002"/>
    <n v="127094400"/>
  </r>
  <r>
    <x v="736"/>
    <n v="0.43055599999999999"/>
    <n v="0.44444400000000001"/>
    <n v="0.42708299999999999"/>
    <x v="247"/>
    <n v="0.27344600000000002"/>
    <n v="133315200"/>
  </r>
  <r>
    <x v="737"/>
    <n v="0.43055599999999999"/>
    <n v="0.44965300000000002"/>
    <n v="0.42881900000000001"/>
    <x v="283"/>
    <n v="0.278914"/>
    <n v="199036800"/>
  </r>
  <r>
    <x v="738"/>
    <n v="0.4375"/>
    <n v="0.44097199999999998"/>
    <n v="0.42795100000000003"/>
    <x v="284"/>
    <n v="0.27071200000000001"/>
    <n v="129038400"/>
  </r>
  <r>
    <x v="739"/>
    <n v="0.42708299999999999"/>
    <n v="0.43055599999999999"/>
    <n v="0.42361100000000002"/>
    <x v="195"/>
    <n v="0.26797700000000002"/>
    <n v="94075200"/>
  </r>
  <r>
    <x v="740"/>
    <n v="0.42968800000000001"/>
    <n v="0.43229200000000001"/>
    <n v="0.41666700000000001"/>
    <x v="194"/>
    <n v="0.263602"/>
    <n v="62956800"/>
  </r>
  <r>
    <x v="741"/>
    <n v="0.42013899999999998"/>
    <n v="0.43229200000000001"/>
    <n v="0.41840300000000002"/>
    <x v="259"/>
    <n v="0.27235199999999998"/>
    <n v="81936000"/>
  </r>
  <r>
    <x v="742"/>
    <n v="0.43402800000000002"/>
    <n v="0.44097199999999998"/>
    <n v="0.42534699999999998"/>
    <x v="246"/>
    <n v="0.27454000000000001"/>
    <n v="61387200"/>
  </r>
  <r>
    <x v="743"/>
    <n v="0.4375"/>
    <n v="0.43923600000000002"/>
    <n v="0.43229200000000001"/>
    <x v="247"/>
    <n v="0.27344600000000002"/>
    <n v="29692800"/>
  </r>
  <r>
    <x v="744"/>
    <n v="0.43229200000000001"/>
    <n v="0.43576399999999998"/>
    <n v="0.42708299999999999"/>
    <x v="258"/>
    <n v="0.27016400000000002"/>
    <n v="33753600"/>
  </r>
  <r>
    <x v="745"/>
    <n v="0.42708299999999999"/>
    <n v="0.42881900000000001"/>
    <n v="0.41666700000000001"/>
    <x v="285"/>
    <n v="0.26250800000000002"/>
    <n v="95515200"/>
  </r>
  <r>
    <x v="746"/>
    <n v="0.41840300000000002"/>
    <n v="0.421875"/>
    <n v="0.41145799999999999"/>
    <x v="286"/>
    <n v="0.26414900000000002"/>
    <n v="75945600"/>
  </r>
  <r>
    <x v="747"/>
    <n v="0.41840300000000002"/>
    <n v="0.421875"/>
    <n v="0.40798600000000002"/>
    <x v="237"/>
    <n v="0.25703900000000002"/>
    <n v="76017600"/>
  </r>
  <r>
    <x v="748"/>
    <n v="0.40798600000000002"/>
    <n v="0.41840300000000002"/>
    <n v="0.40625"/>
    <x v="287"/>
    <n v="0.26141399999999998"/>
    <n v="68788800"/>
  </r>
  <r>
    <x v="749"/>
    <n v="0.41666700000000001"/>
    <n v="0.41840300000000002"/>
    <n v="0.40972199999999998"/>
    <x v="238"/>
    <n v="0.26032"/>
    <n v="43444800"/>
  </r>
  <r>
    <x v="750"/>
    <n v="0.41666700000000001"/>
    <n v="0.41840300000000002"/>
    <n v="0.41145799999999999"/>
    <x v="257"/>
    <n v="0.25922600000000001"/>
    <n v="59889600"/>
  </r>
  <r>
    <x v="751"/>
    <n v="0.41145799999999999"/>
    <n v="0.42361100000000002"/>
    <n v="0.41145799999999999"/>
    <x v="243"/>
    <n v="0.265789"/>
    <n v="92304000"/>
  </r>
  <r>
    <x v="752"/>
    <n v="0.421875"/>
    <n v="0.43055599999999999"/>
    <n v="0.42013899999999998"/>
    <x v="258"/>
    <n v="0.27016400000000002"/>
    <n v="68947200"/>
  </r>
  <r>
    <x v="753"/>
    <n v="0.42881900000000001"/>
    <n v="0.43229200000000001"/>
    <n v="0.42361100000000002"/>
    <x v="196"/>
    <n v="0.271258"/>
    <n v="56635200"/>
  </r>
  <r>
    <x v="754"/>
    <n v="0.41493099999999999"/>
    <n v="0.41666700000000001"/>
    <n v="0.36979200000000001"/>
    <x v="138"/>
    <n v="0.23407"/>
    <n v="788688000"/>
  </r>
  <r>
    <x v="755"/>
    <n v="0.37326399999999998"/>
    <n v="0.37847199999999998"/>
    <n v="0.36371500000000001"/>
    <x v="137"/>
    <n v="0.22969400000000001"/>
    <n v="253612800"/>
  </r>
  <r>
    <x v="756"/>
    <n v="0.36631900000000001"/>
    <n v="0.36631900000000001"/>
    <n v="0.35763899999999998"/>
    <x v="159"/>
    <n v="0.226413"/>
    <n v="123307200"/>
  </r>
  <r>
    <x v="757"/>
    <n v="0.35763899999999998"/>
    <n v="0.36458299999999999"/>
    <n v="0.35416700000000001"/>
    <x v="159"/>
    <n v="0.226413"/>
    <n v="66902400"/>
  </r>
  <r>
    <x v="758"/>
    <n v="0.36111100000000002"/>
    <n v="0.36631900000000001"/>
    <n v="0.359375"/>
    <x v="235"/>
    <n v="0.23078799999999999"/>
    <n v="60206400"/>
  </r>
  <r>
    <x v="759"/>
    <n v="0.36979200000000001"/>
    <n v="0.36979200000000001"/>
    <n v="0.36284699999999998"/>
    <x v="235"/>
    <n v="0.23078799999999999"/>
    <n v="63720000"/>
  </r>
  <r>
    <x v="760"/>
    <n v="0.36631900000000001"/>
    <n v="0.36631900000000001"/>
    <n v="0.34895799999999999"/>
    <x v="218"/>
    <n v="0.21984999999999999"/>
    <n v="104889600"/>
  </r>
  <r>
    <x v="761"/>
    <n v="0.35243099999999999"/>
    <n v="0.35763899999999998"/>
    <n v="0.35069400000000001"/>
    <x v="170"/>
    <n v="0.22422600000000001"/>
    <n v="102888000"/>
  </r>
  <r>
    <x v="762"/>
    <n v="0.34895799999999999"/>
    <n v="0.35069400000000001"/>
    <n v="0.31944400000000001"/>
    <x v="276"/>
    <n v="0.20344400000000001"/>
    <n v="245577600"/>
  </r>
  <r>
    <x v="763"/>
    <n v="0.32204899999999997"/>
    <n v="0.32291700000000001"/>
    <n v="0.31770799999999999"/>
    <x v="276"/>
    <n v="0.20344400000000001"/>
    <n v="238996800"/>
  </r>
  <r>
    <x v="764"/>
    <n v="0.32465300000000002"/>
    <n v="0.34722199999999998"/>
    <n v="0.32118099999999999"/>
    <x v="124"/>
    <n v="0.21820999999999999"/>
    <n v="224467200"/>
  </r>
  <r>
    <x v="765"/>
    <n v="0.34375"/>
    <n v="0.34548600000000002"/>
    <n v="0.33680599999999999"/>
    <x v="219"/>
    <n v="0.21438199999999999"/>
    <n v="167025600"/>
  </r>
  <r>
    <x v="766"/>
    <n v="0.33854200000000001"/>
    <n v="0.34895799999999999"/>
    <n v="0.33854200000000001"/>
    <x v="218"/>
    <n v="0.21984999999999999"/>
    <n v="87811200"/>
  </r>
  <r>
    <x v="767"/>
    <n v="0.34722199999999998"/>
    <n v="0.35156300000000001"/>
    <n v="0.34375"/>
    <x v="175"/>
    <n v="0.217663"/>
    <n v="75542400"/>
  </r>
  <r>
    <x v="768"/>
    <n v="0.34895799999999999"/>
    <n v="0.35069400000000001"/>
    <n v="0.34201399999999998"/>
    <x v="175"/>
    <n v="0.217663"/>
    <n v="70804800"/>
  </r>
  <r>
    <x v="769"/>
    <n v="0.34548600000000002"/>
    <n v="0.34548600000000002"/>
    <n v="0.34201399999999998"/>
    <x v="133"/>
    <n v="0.21656900000000001"/>
    <n v="30009600"/>
  </r>
  <r>
    <x v="770"/>
    <n v="0.34548600000000002"/>
    <n v="0.34722199999999998"/>
    <n v="0.341146"/>
    <x v="124"/>
    <n v="0.21820999999999999"/>
    <n v="46742400"/>
  </r>
  <r>
    <x v="771"/>
    <n v="0.34722199999999998"/>
    <n v="0.34895799999999999"/>
    <n v="0.34375"/>
    <x v="124"/>
    <n v="0.21820999999999999"/>
    <n v="29736000"/>
  </r>
  <r>
    <x v="772"/>
    <n v="0.34722199999999998"/>
    <n v="0.35243099999999999"/>
    <n v="0.34461799999999998"/>
    <x v="218"/>
    <n v="0.21984999999999999"/>
    <n v="35049600"/>
  </r>
  <r>
    <x v="773"/>
    <n v="0.34895799999999999"/>
    <n v="0.34895799999999999"/>
    <n v="0.34375"/>
    <x v="171"/>
    <n v="0.21875600000000001"/>
    <n v="25027200"/>
  </r>
  <r>
    <x v="774"/>
    <n v="0.34722199999999998"/>
    <n v="0.35069400000000001"/>
    <n v="0.34548600000000002"/>
    <x v="288"/>
    <n v="0.22039700000000001"/>
    <n v="19641600"/>
  </r>
  <r>
    <x v="775"/>
    <n v="0.35069400000000001"/>
    <n v="0.35763899999999998"/>
    <n v="0.34895799999999999"/>
    <x v="170"/>
    <n v="0.22422600000000001"/>
    <n v="51681600"/>
  </r>
  <r>
    <x v="776"/>
    <n v="0.35590300000000002"/>
    <n v="0.359375"/>
    <n v="0.35416700000000001"/>
    <x v="170"/>
    <n v="0.22422600000000001"/>
    <n v="29448000"/>
  </r>
  <r>
    <x v="777"/>
    <n v="0.35590300000000002"/>
    <n v="0.36284699999999998"/>
    <n v="0.35590300000000002"/>
    <x v="166"/>
    <n v="0.224772"/>
    <n v="28670400"/>
  </r>
  <r>
    <x v="778"/>
    <n v="0.35763899999999998"/>
    <n v="0.36111100000000002"/>
    <n v="0.34982600000000003"/>
    <x v="166"/>
    <n v="0.224772"/>
    <n v="28728000"/>
  </r>
  <r>
    <x v="779"/>
    <n v="0.359375"/>
    <n v="0.359375"/>
    <n v="0.330729"/>
    <x v="289"/>
    <n v="0.21055299999999999"/>
    <n v="71020800"/>
  </r>
  <r>
    <x v="780"/>
    <n v="0.33159699999999998"/>
    <n v="0.34982600000000003"/>
    <n v="0.32986100000000002"/>
    <x v="160"/>
    <n v="0.21328800000000001"/>
    <n v="92880000"/>
  </r>
  <r>
    <x v="781"/>
    <n v="0.34201399999999998"/>
    <n v="0.35590300000000002"/>
    <n v="0.34201399999999998"/>
    <x v="179"/>
    <n v="0.22203800000000001"/>
    <n v="62625600"/>
  </r>
  <r>
    <x v="782"/>
    <n v="0.35590300000000002"/>
    <n v="0.36371500000000001"/>
    <n v="0.35243099999999999"/>
    <x v="180"/>
    <n v="0.22531899999999999"/>
    <n v="51638400"/>
  </r>
  <r>
    <x v="783"/>
    <n v="0.36458299999999999"/>
    <n v="0.36979200000000001"/>
    <n v="0.36111100000000002"/>
    <x v="213"/>
    <n v="0.23297599999999999"/>
    <n v="69336000"/>
  </r>
  <r>
    <x v="784"/>
    <n v="0.38194400000000001"/>
    <n v="0.38715300000000002"/>
    <n v="0.37847199999999998"/>
    <x v="157"/>
    <n v="0.24008499999999999"/>
    <n v="168969600"/>
  </r>
  <r>
    <x v="785"/>
    <n v="0.38194400000000001"/>
    <n v="0.39236100000000002"/>
    <n v="0.37847199999999998"/>
    <x v="188"/>
    <n v="0.245007"/>
    <n v="138801600"/>
  </r>
  <r>
    <x v="786"/>
    <n v="0.38888899999999998"/>
    <n v="0.38888899999999998"/>
    <n v="0.38194400000000001"/>
    <x v="234"/>
    <n v="0.241726"/>
    <n v="58190400"/>
  </r>
  <r>
    <x v="787"/>
    <n v="0.38194400000000001"/>
    <n v="0.38541700000000001"/>
    <n v="0.37847199999999998"/>
    <x v="253"/>
    <n v="0.241179"/>
    <n v="29332800"/>
  </r>
  <r>
    <x v="788"/>
    <n v="0.38541700000000001"/>
    <n v="0.38715300000000002"/>
    <n v="0.37847199999999998"/>
    <x v="150"/>
    <n v="0.239538"/>
    <n v="24897600"/>
  </r>
  <r>
    <x v="789"/>
    <n v="0.38194400000000001"/>
    <n v="0.38194400000000001"/>
    <n v="0.372396"/>
    <x v="231"/>
    <n v="0.23625699999999999"/>
    <n v="44510400"/>
  </r>
  <r>
    <x v="790"/>
    <n v="0.375"/>
    <n v="0.38107600000000003"/>
    <n v="0.375"/>
    <x v="150"/>
    <n v="0.239538"/>
    <n v="34588800"/>
  </r>
  <r>
    <x v="791"/>
    <n v="0.38020799999999999"/>
    <n v="0.390625"/>
    <n v="0.37326399999999998"/>
    <x v="182"/>
    <n v="0.24446100000000001"/>
    <n v="69782400"/>
  </r>
  <r>
    <x v="792"/>
    <n v="0.38454899999999997"/>
    <n v="0.38888899999999998"/>
    <n v="0.37673600000000002"/>
    <x v="156"/>
    <n v="0.23899100000000001"/>
    <n v="33739200"/>
  </r>
  <r>
    <x v="793"/>
    <n v="0.38020799999999999"/>
    <n v="0.38194400000000001"/>
    <n v="0.37152800000000002"/>
    <x v="231"/>
    <n v="0.23625699999999999"/>
    <n v="34372800"/>
  </r>
  <r>
    <x v="794"/>
    <n v="0.375"/>
    <n v="0.38020799999999999"/>
    <n v="0.375"/>
    <x v="231"/>
    <n v="0.23625699999999999"/>
    <n v="28857600"/>
  </r>
  <r>
    <x v="795"/>
    <n v="0.37673600000000002"/>
    <n v="0.37673600000000002"/>
    <n v="0.36284699999999998"/>
    <x v="137"/>
    <n v="0.22969400000000001"/>
    <n v="37425600"/>
  </r>
  <r>
    <x v="796"/>
    <n v="0.36979200000000001"/>
    <n v="0.36979200000000001"/>
    <n v="0.359375"/>
    <x v="136"/>
    <n v="0.22750699999999999"/>
    <n v="35827200"/>
  </r>
  <r>
    <x v="797"/>
    <n v="0.36111100000000002"/>
    <n v="0.36284699999999998"/>
    <n v="0.35416700000000001"/>
    <x v="180"/>
    <n v="0.22531899999999999"/>
    <n v="49003200"/>
  </r>
  <r>
    <x v="798"/>
    <n v="0.359375"/>
    <n v="0.37152800000000002"/>
    <n v="0.35763899999999998"/>
    <x v="251"/>
    <n v="0.231882"/>
    <n v="54590400"/>
  </r>
  <r>
    <x v="799"/>
    <n v="0.37152800000000002"/>
    <n v="0.38020799999999999"/>
    <n v="0.36979200000000001"/>
    <x v="231"/>
    <n v="0.23625699999999999"/>
    <n v="58752000"/>
  </r>
  <r>
    <x v="800"/>
    <n v="0.37673600000000002"/>
    <n v="0.37673600000000002"/>
    <n v="0.37152800000000002"/>
    <x v="231"/>
    <n v="0.23625699999999999"/>
    <n v="34401600"/>
  </r>
  <r>
    <x v="801"/>
    <n v="0.37934000000000001"/>
    <n v="0.38194400000000001"/>
    <n v="0.37152800000000002"/>
    <x v="227"/>
    <n v="0.23735100000000001"/>
    <n v="71092800"/>
  </r>
  <r>
    <x v="802"/>
    <n v="0.37586799999999998"/>
    <n v="0.38194400000000001"/>
    <n v="0.375"/>
    <x v="150"/>
    <n v="0.239538"/>
    <n v="74736000"/>
  </r>
  <r>
    <x v="803"/>
    <n v="0.38020799999999999"/>
    <n v="0.39236100000000002"/>
    <n v="0.37847199999999998"/>
    <x v="154"/>
    <n v="0.24610099999999999"/>
    <n v="83433600"/>
  </r>
  <r>
    <x v="804"/>
    <n v="0.39149299999999998"/>
    <n v="0.40277800000000002"/>
    <n v="0.39149299999999998"/>
    <x v="183"/>
    <n v="0.251023"/>
    <n v="89812800"/>
  </r>
  <r>
    <x v="805"/>
    <n v="0.39756900000000001"/>
    <n v="0.40711799999999998"/>
    <n v="0.39756900000000001"/>
    <x v="240"/>
    <n v="0.25485099999999999"/>
    <n v="52574400"/>
  </r>
  <r>
    <x v="806"/>
    <n v="0.403646"/>
    <n v="0.41319400000000001"/>
    <n v="0.403646"/>
    <x v="240"/>
    <n v="0.25485099999999999"/>
    <n v="62568000"/>
  </r>
  <r>
    <x v="807"/>
    <n v="0.40451399999999998"/>
    <n v="0.41319400000000001"/>
    <n v="0.40104200000000001"/>
    <x v="257"/>
    <n v="0.25922600000000001"/>
    <n v="74275200"/>
  </r>
  <r>
    <x v="808"/>
    <n v="0.40451399999999998"/>
    <n v="0.40972199999999998"/>
    <n v="0.390625"/>
    <x v="155"/>
    <n v="0.24774199999999999"/>
    <n v="97545600"/>
  </r>
  <r>
    <x v="809"/>
    <n v="0.38975700000000002"/>
    <n v="0.39930599999999999"/>
    <n v="0.38715300000000002"/>
    <x v="187"/>
    <n v="0.25157000000000002"/>
    <n v="69364800"/>
  </r>
  <r>
    <x v="810"/>
    <n v="0.39930599999999999"/>
    <n v="0.40625"/>
    <n v="0.39583299999999999"/>
    <x v="187"/>
    <n v="0.25157000000000002"/>
    <n v="33840000"/>
  </r>
  <r>
    <x v="811"/>
    <n v="0.40277800000000002"/>
    <n v="0.40972199999999998"/>
    <n v="0.40104200000000001"/>
    <x v="290"/>
    <n v="0.25758599999999998"/>
    <n v="37886400"/>
  </r>
  <r>
    <x v="812"/>
    <n v="0.40972199999999998"/>
    <n v="0.41406300000000001"/>
    <n v="0.40625"/>
    <x v="241"/>
    <n v="0.258133"/>
    <n v="63907200"/>
  </r>
  <r>
    <x v="813"/>
    <n v="0.40972199999999998"/>
    <n v="0.42361100000000002"/>
    <n v="0.40972199999999998"/>
    <x v="230"/>
    <n v="0.26469599999999999"/>
    <n v="80971200"/>
  </r>
  <r>
    <x v="814"/>
    <n v="0.41840300000000002"/>
    <n v="0.421875"/>
    <n v="0.41493099999999999"/>
    <x v="285"/>
    <n v="0.26250800000000002"/>
    <n v="62798400"/>
  </r>
  <r>
    <x v="815"/>
    <n v="0.41753499999999999"/>
    <n v="0.41840300000000002"/>
    <n v="0.40451399999999998"/>
    <x v="240"/>
    <n v="0.25485099999999999"/>
    <n v="54043200"/>
  </r>
  <r>
    <x v="816"/>
    <n v="0.40625"/>
    <n v="0.40625"/>
    <n v="0.39236100000000002"/>
    <x v="186"/>
    <n v="0.24828900000000001"/>
    <n v="61416000"/>
  </r>
  <r>
    <x v="817"/>
    <n v="0.39409699999999998"/>
    <n v="0.40711799999999998"/>
    <n v="0.39236100000000002"/>
    <x v="229"/>
    <n v="0.25594499999999998"/>
    <n v="53899200"/>
  </r>
  <r>
    <x v="818"/>
    <n v="0.40798600000000002"/>
    <n v="0.41666700000000001"/>
    <n v="0.40798600000000002"/>
    <x v="287"/>
    <n v="0.26141399999999998"/>
    <n v="44928000"/>
  </r>
  <r>
    <x v="819"/>
    <n v="0.41493099999999999"/>
    <n v="0.41840300000000002"/>
    <n v="0.41319400000000001"/>
    <x v="287"/>
    <n v="0.26141399999999998"/>
    <n v="29217600"/>
  </r>
  <r>
    <x v="820"/>
    <n v="0.41493099999999999"/>
    <n v="0.41753499999999999"/>
    <n v="0.41145799999999999"/>
    <x v="287"/>
    <n v="0.26141399999999998"/>
    <n v="36144000"/>
  </r>
  <r>
    <x v="821"/>
    <n v="0.41493099999999999"/>
    <n v="0.41840300000000002"/>
    <n v="0.40711799999999998"/>
    <x v="241"/>
    <n v="0.258133"/>
    <n v="51681600"/>
  </r>
  <r>
    <x v="822"/>
    <n v="0.40538200000000002"/>
    <n v="0.40625"/>
    <n v="0.39756900000000001"/>
    <x v="190"/>
    <n v="0.25047599999999998"/>
    <n v="40564800"/>
  </r>
  <r>
    <x v="823"/>
    <n v="0.40104200000000001"/>
    <n v="0.40277800000000002"/>
    <n v="0.39236100000000002"/>
    <x v="184"/>
    <n v="0.252664"/>
    <n v="47304000"/>
  </r>
  <r>
    <x v="824"/>
    <n v="0.40104200000000001"/>
    <n v="0.40104200000000001"/>
    <n v="0.390625"/>
    <x v="186"/>
    <n v="0.24828900000000001"/>
    <n v="52113600"/>
  </r>
  <r>
    <x v="825"/>
    <n v="0.393229"/>
    <n v="0.39583299999999999"/>
    <n v="0.390625"/>
    <x v="186"/>
    <n v="0.24828900000000001"/>
    <n v="47361600"/>
  </r>
  <r>
    <x v="826"/>
    <n v="0.39583299999999999"/>
    <n v="0.39583299999999999"/>
    <n v="0.38541700000000001"/>
    <x v="140"/>
    <n v="0.247195"/>
    <n v="27158400"/>
  </r>
  <r>
    <x v="827"/>
    <n v="0.39236100000000002"/>
    <n v="0.39409699999999998"/>
    <n v="0.37847199999999998"/>
    <x v="158"/>
    <n v="0.23844499999999999"/>
    <n v="45806400"/>
  </r>
  <r>
    <x v="828"/>
    <n v="0.36979200000000001"/>
    <n v="0.38888899999999998"/>
    <n v="0.36979200000000001"/>
    <x v="232"/>
    <n v="0.24063200000000001"/>
    <n v="80496000"/>
  </r>
  <r>
    <x v="829"/>
    <n v="0.38368099999999999"/>
    <n v="0.38541700000000001"/>
    <n v="0.38194400000000001"/>
    <x v="254"/>
    <n v="0.24282000000000001"/>
    <n v="36072000"/>
  </r>
  <r>
    <x v="830"/>
    <n v="0.38541700000000001"/>
    <n v="0.38888899999999998"/>
    <n v="0.38368099999999999"/>
    <x v="255"/>
    <n v="0.24227299999999999"/>
    <n v="33537600"/>
  </r>
  <r>
    <x v="831"/>
    <n v="0.38368099999999999"/>
    <n v="0.38541700000000001"/>
    <n v="0.37673600000000002"/>
    <x v="150"/>
    <n v="0.239538"/>
    <n v="30240000"/>
  </r>
  <r>
    <x v="832"/>
    <n v="0.38020799999999999"/>
    <n v="0.38368099999999999"/>
    <n v="0.37326399999999998"/>
    <x v="233"/>
    <n v="0.23571"/>
    <n v="35899200"/>
  </r>
  <r>
    <x v="833"/>
    <n v="0.375"/>
    <n v="0.375"/>
    <n v="0.36111100000000002"/>
    <x v="235"/>
    <n v="0.23078799999999999"/>
    <n v="57456000"/>
  </r>
  <r>
    <x v="834"/>
    <n v="0.36718800000000001"/>
    <n v="0.36718800000000001"/>
    <n v="0.35590300000000002"/>
    <x v="136"/>
    <n v="0.22750699999999999"/>
    <n v="77198400"/>
  </r>
  <r>
    <x v="835"/>
    <n v="0.36111100000000002"/>
    <n v="0.37152800000000002"/>
    <n v="0.35590300000000002"/>
    <x v="251"/>
    <n v="0.231882"/>
    <n v="67248000"/>
  </r>
  <r>
    <x v="836"/>
    <n v="0.36892399999999997"/>
    <n v="0.37673600000000002"/>
    <n v="0.36892399999999997"/>
    <x v="231"/>
    <n v="0.23625699999999999"/>
    <n v="14688000"/>
  </r>
  <r>
    <x v="837"/>
    <n v="0.37847199999999998"/>
    <n v="0.38541700000000001"/>
    <n v="0.375"/>
    <x v="234"/>
    <n v="0.241726"/>
    <n v="26539200"/>
  </r>
  <r>
    <x v="838"/>
    <n v="0.38715300000000002"/>
    <n v="0.38888899999999998"/>
    <n v="0.36371500000000001"/>
    <x v="235"/>
    <n v="0.23078799999999999"/>
    <n v="94780800"/>
  </r>
  <r>
    <x v="839"/>
    <n v="0.36631900000000001"/>
    <n v="0.37673600000000002"/>
    <n v="0.36545100000000003"/>
    <x v="138"/>
    <n v="0.23407"/>
    <n v="41457600"/>
  </r>
  <r>
    <x v="840"/>
    <n v="0.37326399999999998"/>
    <n v="0.38194400000000001"/>
    <n v="0.37152800000000002"/>
    <x v="157"/>
    <n v="0.24008499999999999"/>
    <n v="27259200"/>
  </r>
  <r>
    <x v="841"/>
    <n v="0.38107600000000003"/>
    <n v="0.38541700000000001"/>
    <n v="0.36979200000000001"/>
    <x v="138"/>
    <n v="0.23407"/>
    <n v="43488000"/>
  </r>
  <r>
    <x v="842"/>
    <n v="0.36805599999999999"/>
    <n v="0.37152800000000002"/>
    <n v="0.36111100000000002"/>
    <x v="213"/>
    <n v="0.23297599999999999"/>
    <n v="52156800"/>
  </r>
  <r>
    <x v="843"/>
    <n v="0.36892399999999997"/>
    <n v="0.37326399999999998"/>
    <n v="0.36458299999999999"/>
    <x v="251"/>
    <n v="0.231882"/>
    <n v="33408000"/>
  </r>
  <r>
    <x v="844"/>
    <n v="0.36979200000000001"/>
    <n v="0.37152800000000002"/>
    <n v="0.359375"/>
    <x v="235"/>
    <n v="0.23078799999999999"/>
    <n v="42768000"/>
  </r>
  <r>
    <x v="845"/>
    <n v="0.36631900000000001"/>
    <n v="0.37152800000000002"/>
    <n v="0.36458299999999999"/>
    <x v="213"/>
    <n v="0.23297599999999999"/>
    <n v="31291200"/>
  </r>
  <r>
    <x v="846"/>
    <n v="0.36979200000000001"/>
    <n v="0.37673600000000002"/>
    <n v="0.36979200000000001"/>
    <x v="138"/>
    <n v="0.23407"/>
    <n v="42984000"/>
  </r>
  <r>
    <x v="847"/>
    <n v="0.375"/>
    <n v="0.37847199999999998"/>
    <n v="0.36979200000000001"/>
    <x v="152"/>
    <n v="0.23680399999999999"/>
    <n v="29764800"/>
  </r>
  <r>
    <x v="848"/>
    <n v="0.37673600000000002"/>
    <n v="0.38368099999999999"/>
    <n v="0.37152800000000002"/>
    <x v="138"/>
    <n v="0.23407"/>
    <n v="44524800"/>
  </r>
  <r>
    <x v="849"/>
    <n v="0.36805599999999999"/>
    <n v="0.39236100000000002"/>
    <n v="0.36631900000000001"/>
    <x v="234"/>
    <n v="0.241726"/>
    <n v="99763200"/>
  </r>
  <r>
    <x v="850"/>
    <n v="0.38020799999999999"/>
    <n v="0.38715300000000002"/>
    <n v="0.37673600000000002"/>
    <x v="234"/>
    <n v="0.241726"/>
    <n v="38361600"/>
  </r>
  <r>
    <x v="851"/>
    <n v="0.38194400000000001"/>
    <n v="0.39583299999999999"/>
    <n v="0.35763899999999998"/>
    <x v="136"/>
    <n v="0.22750699999999999"/>
    <n v="326030400"/>
  </r>
  <r>
    <x v="852"/>
    <n v="0.36631900000000001"/>
    <n v="0.36979200000000001"/>
    <n v="0.36111100000000002"/>
    <x v="235"/>
    <n v="0.23078799999999999"/>
    <n v="123638400"/>
  </r>
  <r>
    <x v="853"/>
    <n v="0.372396"/>
    <n v="0.375"/>
    <n v="0.36979200000000001"/>
    <x v="236"/>
    <n v="0.23516300000000001"/>
    <n v="45561600"/>
  </r>
  <r>
    <x v="854"/>
    <n v="0.375"/>
    <n v="0.37847199999999998"/>
    <n v="0.36979200000000001"/>
    <x v="227"/>
    <n v="0.23735100000000001"/>
    <n v="29217600"/>
  </r>
  <r>
    <x v="855"/>
    <n v="0.375"/>
    <n v="0.38194400000000001"/>
    <n v="0.37326399999999998"/>
    <x v="150"/>
    <n v="0.239538"/>
    <n v="33336000"/>
  </r>
  <r>
    <x v="856"/>
    <n v="0.38020799999999999"/>
    <n v="0.38368099999999999"/>
    <n v="0.375"/>
    <x v="227"/>
    <n v="0.23735100000000001"/>
    <n v="62136000"/>
  </r>
  <r>
    <x v="857"/>
    <n v="0.375"/>
    <n v="0.38020799999999999"/>
    <n v="0.375"/>
    <x v="227"/>
    <n v="0.23735100000000001"/>
    <n v="28368000"/>
  </r>
  <r>
    <x v="858"/>
    <n v="0.377604"/>
    <n v="0.38368099999999999"/>
    <n v="0.37673600000000002"/>
    <x v="232"/>
    <n v="0.24063200000000001"/>
    <n v="27590400"/>
  </r>
  <r>
    <x v="859"/>
    <n v="0.38020799999999999"/>
    <n v="0.39930599999999999"/>
    <n v="0.37847199999999998"/>
    <x v="228"/>
    <n v="0.24938199999999999"/>
    <n v="178128000"/>
  </r>
  <r>
    <x v="860"/>
    <n v="0.40104200000000001"/>
    <n v="0.40277800000000002"/>
    <n v="0.39583299999999999"/>
    <x v="184"/>
    <n v="0.252664"/>
    <n v="93571200"/>
  </r>
  <r>
    <x v="861"/>
    <n v="0.39930599999999999"/>
    <n v="0.41145799999999999"/>
    <n v="0.39930599999999999"/>
    <x v="241"/>
    <n v="0.258133"/>
    <n v="110548800"/>
  </r>
  <r>
    <x v="862"/>
    <n v="0.408854"/>
    <n v="0.41666700000000001"/>
    <n v="0.40798600000000002"/>
    <x v="237"/>
    <n v="0.25703900000000002"/>
    <n v="113774400"/>
  </r>
  <r>
    <x v="863"/>
    <n v="0.40972199999999998"/>
    <n v="0.40972199999999998"/>
    <n v="0.40451399999999998"/>
    <x v="229"/>
    <n v="0.25594499999999998"/>
    <n v="48340800"/>
  </r>
  <r>
    <x v="864"/>
    <n v="0.40972199999999998"/>
    <n v="0.41319400000000001"/>
    <n v="0.40104200000000001"/>
    <x v="184"/>
    <n v="0.252664"/>
    <n v="61473600"/>
  </r>
  <r>
    <x v="865"/>
    <n v="0.40104200000000001"/>
    <n v="0.40104200000000001"/>
    <n v="0.39583299999999999"/>
    <x v="228"/>
    <n v="0.24938199999999999"/>
    <n v="68990400"/>
  </r>
  <r>
    <x v="866"/>
    <n v="0.39583299999999999"/>
    <n v="0.40277800000000002"/>
    <n v="0.393229"/>
    <x v="187"/>
    <n v="0.25157000000000002"/>
    <n v="17856000"/>
  </r>
  <r>
    <x v="867"/>
    <n v="0.40104200000000001"/>
    <n v="0.40277800000000002"/>
    <n v="0.38541700000000001"/>
    <x v="182"/>
    <n v="0.24446100000000001"/>
    <n v="46670400"/>
  </r>
  <r>
    <x v="868"/>
    <n v="0.38715300000000002"/>
    <n v="0.39409699999999998"/>
    <n v="0.38368099999999999"/>
    <x v="140"/>
    <n v="0.247195"/>
    <n v="39960000"/>
  </r>
  <r>
    <x v="869"/>
    <n v="0.39236100000000002"/>
    <n v="0.40104200000000001"/>
    <n v="0.39236100000000002"/>
    <x v="187"/>
    <n v="0.25157000000000002"/>
    <n v="24912000"/>
  </r>
  <r>
    <x v="870"/>
    <n v="0.39930599999999999"/>
    <n v="0.40190999999999999"/>
    <n v="0.38888899999999998"/>
    <x v="249"/>
    <n v="0.24555399999999999"/>
    <n v="32097600"/>
  </r>
  <r>
    <x v="871"/>
    <n v="0.38888899999999998"/>
    <n v="0.40798600000000002"/>
    <n v="0.38888899999999998"/>
    <x v="192"/>
    <n v="0.25539800000000001"/>
    <n v="64771200"/>
  </r>
  <r>
    <x v="872"/>
    <n v="0.40711799999999998"/>
    <n v="0.41406300000000001"/>
    <n v="0.40277800000000002"/>
    <x v="257"/>
    <n v="0.25922600000000001"/>
    <n v="46094400"/>
  </r>
  <r>
    <x v="873"/>
    <n v="0.41579899999999997"/>
    <n v="0.42013899999999998"/>
    <n v="0.40451399999999998"/>
    <x v="241"/>
    <n v="0.258133"/>
    <n v="92764800"/>
  </r>
  <r>
    <x v="874"/>
    <n v="0.40798600000000002"/>
    <n v="0.41145799999999999"/>
    <n v="0.40104200000000001"/>
    <x v="290"/>
    <n v="0.25758599999999998"/>
    <n v="85147200"/>
  </r>
  <r>
    <x v="875"/>
    <n v="0.40798600000000002"/>
    <n v="0.41319400000000001"/>
    <n v="0.40451399999999998"/>
    <x v="141"/>
    <n v="0.25868000000000002"/>
    <n v="28540800"/>
  </r>
  <r>
    <x v="876"/>
    <n v="0.41579899999999997"/>
    <n v="0.41666700000000001"/>
    <n v="0.40538200000000002"/>
    <x v="229"/>
    <n v="0.25594499999999998"/>
    <n v="54417600"/>
  </r>
  <r>
    <x v="877"/>
    <n v="0.40798600000000002"/>
    <n v="0.41406300000000001"/>
    <n v="0.40625"/>
    <x v="257"/>
    <n v="0.25922600000000001"/>
    <n v="40377600"/>
  </r>
  <r>
    <x v="878"/>
    <n v="0.41319400000000001"/>
    <n v="0.41493099999999999"/>
    <n v="0.40798600000000002"/>
    <x v="237"/>
    <n v="0.25703900000000002"/>
    <n v="14198400"/>
  </r>
  <r>
    <x v="879"/>
    <n v="0.40972199999999998"/>
    <n v="0.41840300000000002"/>
    <n v="0.40798600000000002"/>
    <x v="239"/>
    <n v="0.261961"/>
    <n v="44409600"/>
  </r>
  <r>
    <x v="880"/>
    <n v="0.41493099999999999"/>
    <n v="0.42361100000000002"/>
    <n v="0.41406300000000001"/>
    <x v="285"/>
    <n v="0.26250800000000002"/>
    <n v="93340800"/>
  </r>
  <r>
    <x v="881"/>
    <n v="0.41493099999999999"/>
    <n v="0.41666700000000001"/>
    <n v="0.40798600000000002"/>
    <x v="257"/>
    <n v="0.25922600000000001"/>
    <n v="42379200"/>
  </r>
  <r>
    <x v="882"/>
    <n v="0.40972199999999998"/>
    <n v="0.41145799999999999"/>
    <n v="0.40277800000000002"/>
    <x v="240"/>
    <n v="0.25485099999999999"/>
    <n v="41904000"/>
  </r>
  <r>
    <x v="883"/>
    <n v="0.40277800000000002"/>
    <n v="0.41319400000000001"/>
    <n v="0.40104200000000001"/>
    <x v="241"/>
    <n v="0.258133"/>
    <n v="39787200"/>
  </r>
  <r>
    <x v="884"/>
    <n v="0.40798600000000002"/>
    <n v="0.41319400000000001"/>
    <n v="0.40625"/>
    <x v="144"/>
    <n v="0.25977299999999998"/>
    <n v="27907200"/>
  </r>
  <r>
    <x v="885"/>
    <n v="0.41319400000000001"/>
    <n v="0.42361100000000002"/>
    <n v="0.41145799999999999"/>
    <x v="194"/>
    <n v="0.263602"/>
    <n v="67795200"/>
  </r>
  <r>
    <x v="886"/>
    <n v="0.42361100000000002"/>
    <n v="0.44097199999999998"/>
    <n v="0.42013899999999998"/>
    <x v="259"/>
    <n v="0.27235199999999998"/>
    <n v="181022400"/>
  </r>
  <r>
    <x v="887"/>
    <n v="0.43576399999999998"/>
    <n v="0.44791700000000001"/>
    <n v="0.43229200000000001"/>
    <x v="283"/>
    <n v="0.278914"/>
    <n v="78163200"/>
  </r>
  <r>
    <x v="888"/>
    <n v="0.44444400000000001"/>
    <n v="0.44791700000000001"/>
    <n v="0.43402800000000002"/>
    <x v="246"/>
    <n v="0.27454000000000001"/>
    <n v="89150400"/>
  </r>
  <r>
    <x v="889"/>
    <n v="0.43402800000000002"/>
    <n v="0.44097199999999998"/>
    <n v="0.43402800000000002"/>
    <x v="262"/>
    <n v="0.27782099999999998"/>
    <n v="39110400"/>
  </r>
  <r>
    <x v="890"/>
    <n v="0.44270799999999999"/>
    <n v="0.44444400000000001"/>
    <n v="0.43402800000000002"/>
    <x v="247"/>
    <n v="0.27344600000000002"/>
    <n v="49204800"/>
  </r>
  <r>
    <x v="891"/>
    <n v="0.43576399999999998"/>
    <n v="0.45138899999999998"/>
    <n v="0.43229200000000001"/>
    <x v="291"/>
    <n v="0.28438400000000003"/>
    <n v="72129600"/>
  </r>
  <r>
    <x v="892"/>
    <n v="0.45659699999999998"/>
    <n v="0.46354200000000001"/>
    <n v="0.44791700000000001"/>
    <x v="292"/>
    <n v="0.28657100000000002"/>
    <n v="89352000"/>
  </r>
  <r>
    <x v="893"/>
    <n v="0.45486100000000002"/>
    <n v="0.45833299999999999"/>
    <n v="0.44965300000000002"/>
    <x v="264"/>
    <n v="0.28875800000000001"/>
    <n v="43948800"/>
  </r>
  <r>
    <x v="894"/>
    <n v="0.45833299999999999"/>
    <n v="0.47222199999999998"/>
    <n v="0.45486100000000002"/>
    <x v="263"/>
    <n v="0.29313400000000001"/>
    <n v="69940800"/>
  </r>
  <r>
    <x v="895"/>
    <n v="0.46527800000000002"/>
    <n v="0.46875"/>
    <n v="0.46180599999999999"/>
    <x v="293"/>
    <n v="0.29422799999999999"/>
    <n v="39988800"/>
  </r>
  <r>
    <x v="896"/>
    <n v="0.46006900000000001"/>
    <n v="0.46788200000000002"/>
    <n v="0.45659699999999998"/>
    <x v="294"/>
    <n v="0.291493"/>
    <n v="69235200"/>
  </r>
  <r>
    <x v="897"/>
    <n v="0.46180599999999999"/>
    <n v="0.47222199999999998"/>
    <n v="0.46180599999999999"/>
    <x v="267"/>
    <n v="0.29750900000000002"/>
    <n v="41428800"/>
  </r>
  <r>
    <x v="898"/>
    <n v="0.47222199999999998"/>
    <n v="0.48263899999999998"/>
    <n v="0.47048600000000002"/>
    <x v="200"/>
    <n v="0.29969600000000002"/>
    <n v="64324800"/>
  </r>
  <r>
    <x v="899"/>
    <n v="0.47395799999999999"/>
    <n v="0.48611100000000002"/>
    <n v="0.47222199999999998"/>
    <x v="268"/>
    <n v="0.30461899999999997"/>
    <n v="50428800"/>
  </r>
  <r>
    <x v="900"/>
    <n v="0.48958299999999999"/>
    <n v="0.48958299999999999"/>
    <n v="0.47829899999999997"/>
    <x v="295"/>
    <n v="0.30188399999999999"/>
    <n v="68918400"/>
  </r>
  <r>
    <x v="901"/>
    <n v="0.47916700000000001"/>
    <n v="0.52604200000000001"/>
    <n v="0.47569400000000001"/>
    <x v="296"/>
    <n v="0.33032299999999998"/>
    <n v="260020800"/>
  </r>
  <r>
    <x v="902"/>
    <n v="0.52430600000000005"/>
    <n v="0.57118100000000005"/>
    <n v="0.52256899999999995"/>
    <x v="297"/>
    <n v="0.34672900000000001"/>
    <n v="284760000"/>
  </r>
  <r>
    <x v="903"/>
    <n v="0.55295099999999997"/>
    <n v="0.55902799999999997"/>
    <n v="0.54340299999999997"/>
    <x v="298"/>
    <n v="0.348916"/>
    <n v="87609600"/>
  </r>
  <r>
    <x v="904"/>
    <n v="0.55208299999999999"/>
    <n v="0.56944399999999995"/>
    <n v="0.54861099999999996"/>
    <x v="299"/>
    <n v="0.35766700000000001"/>
    <n v="58536000"/>
  </r>
  <r>
    <x v="905"/>
    <n v="0.57291700000000001"/>
    <n v="0.57638900000000004"/>
    <n v="0.56076400000000004"/>
    <x v="300"/>
    <n v="0.35547899999999999"/>
    <n v="68299200"/>
  </r>
  <r>
    <x v="906"/>
    <n v="0.55729200000000001"/>
    <n v="0.55902799999999997"/>
    <n v="0.54861099999999996"/>
    <x v="301"/>
    <n v="0.35001100000000002"/>
    <n v="106401600"/>
  </r>
  <r>
    <x v="907"/>
    <n v="0.55555600000000005"/>
    <n v="0.55902799999999997"/>
    <n v="0.54340299999999997"/>
    <x v="302"/>
    <n v="0.34344799999999998"/>
    <n v="58881600"/>
  </r>
  <r>
    <x v="908"/>
    <n v="0.53993100000000005"/>
    <n v="0.54166700000000001"/>
    <n v="0.50694399999999995"/>
    <x v="303"/>
    <n v="0.32157200000000002"/>
    <n v="102643200"/>
  </r>
  <r>
    <x v="909"/>
    <n v="0.49131900000000001"/>
    <n v="0.52951400000000004"/>
    <n v="0.47916700000000001"/>
    <x v="304"/>
    <n v="0.33141599999999999"/>
    <n v="253065600"/>
  </r>
  <r>
    <x v="910"/>
    <n v="0.52256899999999995"/>
    <n v="0.56597200000000003"/>
    <n v="0.515625"/>
    <x v="305"/>
    <n v="0.343995"/>
    <n v="177206400"/>
  </r>
  <r>
    <x v="911"/>
    <n v="0.54774299999999998"/>
    <n v="0.56076400000000004"/>
    <n v="0.54513900000000004"/>
    <x v="306"/>
    <n v="0.35219800000000001"/>
    <n v="134784000"/>
  </r>
  <r>
    <x v="912"/>
    <n v="0.5625"/>
    <n v="0.59722200000000003"/>
    <n v="0.55729200000000001"/>
    <x v="307"/>
    <n v="0.36860500000000002"/>
    <n v="179424000"/>
  </r>
  <r>
    <x v="913"/>
    <n v="0.58333299999999999"/>
    <n v="0.59375"/>
    <n v="0.57291700000000001"/>
    <x v="308"/>
    <n v="0.37297999999999998"/>
    <n v="93542400"/>
  </r>
  <r>
    <x v="914"/>
    <n v="0.58854200000000001"/>
    <n v="0.59548599999999996"/>
    <n v="0.57291700000000001"/>
    <x v="309"/>
    <n v="0.36368299999999998"/>
    <n v="60912000"/>
  </r>
  <r>
    <x v="915"/>
    <n v="0.57291700000000001"/>
    <n v="0.57291700000000001"/>
    <n v="0.546875"/>
    <x v="310"/>
    <n v="0.35383900000000001"/>
    <n v="157089600"/>
  </r>
  <r>
    <x v="916"/>
    <n v="0.56597200000000003"/>
    <n v="0.57465299999999997"/>
    <n v="0.55034700000000003"/>
    <x v="298"/>
    <n v="0.348916"/>
    <n v="71481600"/>
  </r>
  <r>
    <x v="917"/>
    <n v="0.546875"/>
    <n v="0.55729200000000001"/>
    <n v="0.53819399999999995"/>
    <x v="311"/>
    <n v="0.340167"/>
    <n v="135460800"/>
  </r>
  <r>
    <x v="918"/>
    <n v="0.53993100000000005"/>
    <n v="0.54166700000000001"/>
    <n v="0.52951400000000004"/>
    <x v="312"/>
    <n v="0.33688499999999999"/>
    <n v="97041600"/>
  </r>
  <r>
    <x v="919"/>
    <n v="0.54166700000000001"/>
    <n v="0.55381899999999995"/>
    <n v="0.54079900000000003"/>
    <x v="313"/>
    <n v="0.34837000000000001"/>
    <n v="45921600"/>
  </r>
  <r>
    <x v="920"/>
    <n v="0.55729200000000001"/>
    <n v="0.56944399999999995"/>
    <n v="0.55555600000000005"/>
    <x v="299"/>
    <n v="0.35766700000000001"/>
    <n v="56563200"/>
  </r>
  <r>
    <x v="921"/>
    <n v="0.56770799999999999"/>
    <n v="0.57638900000000004"/>
    <n v="0.56770799999999999"/>
    <x v="314"/>
    <n v="0.35930800000000002"/>
    <n v="74649600"/>
  </r>
  <r>
    <x v="922"/>
    <n v="0.56163200000000002"/>
    <n v="0.56163200000000002"/>
    <n v="0.52777799999999997"/>
    <x v="315"/>
    <n v="0.33360400000000001"/>
    <n v="226051200"/>
  </r>
  <r>
    <x v="923"/>
    <n v="0.53125"/>
    <n v="0.546875"/>
    <n v="0.52951400000000004"/>
    <x v="316"/>
    <n v="0.34235399999999999"/>
    <n v="98755200"/>
  </r>
  <r>
    <x v="924"/>
    <n v="0.54340299999999997"/>
    <n v="0.55381899999999995"/>
    <n v="0.53125"/>
    <x v="317"/>
    <n v="0.33797899999999997"/>
    <n v="88027200"/>
  </r>
  <r>
    <x v="925"/>
    <n v="0.53819399999999995"/>
    <n v="0.57204900000000003"/>
    <n v="0.53645799999999999"/>
    <x v="318"/>
    <n v="0.35438599999999998"/>
    <n v="131544000"/>
  </r>
  <r>
    <x v="926"/>
    <n v="0.57031299999999996"/>
    <n v="0.58680600000000005"/>
    <n v="0.56944399999999995"/>
    <x v="319"/>
    <n v="0.36423"/>
    <n v="106488000"/>
  </r>
  <r>
    <x v="927"/>
    <n v="0.58333299999999999"/>
    <n v="0.58680600000000005"/>
    <n v="0.57291700000000001"/>
    <x v="320"/>
    <n v="0.36641699999999999"/>
    <n v="111528000"/>
  </r>
  <r>
    <x v="928"/>
    <n v="0.58333299999999999"/>
    <n v="0.59027799999999997"/>
    <n v="0.58159700000000003"/>
    <x v="321"/>
    <n v="0.369699"/>
    <n v="59169600"/>
  </r>
  <r>
    <x v="929"/>
    <n v="0.58680600000000005"/>
    <n v="0.61284700000000003"/>
    <n v="0.58159700000000003"/>
    <x v="322"/>
    <n v="0.38555800000000001"/>
    <n v="178905600"/>
  </r>
  <r>
    <x v="930"/>
    <n v="0.61631899999999995"/>
    <n v="0.61979200000000001"/>
    <n v="0.59722200000000003"/>
    <x v="323"/>
    <n v="0.37844800000000001"/>
    <n v="95241600"/>
  </r>
  <r>
    <x v="931"/>
    <n v="0.60243100000000005"/>
    <n v="0.61979200000000001"/>
    <n v="0.59895799999999999"/>
    <x v="324"/>
    <n v="0.38719900000000002"/>
    <n v="94492800"/>
  </r>
  <r>
    <x v="932"/>
    <n v="0.61805600000000005"/>
    <n v="0.61979200000000001"/>
    <n v="0.59895799999999999"/>
    <x v="325"/>
    <n v="0.382824"/>
    <n v="68054400"/>
  </r>
  <r>
    <x v="933"/>
    <n v="0.60850700000000002"/>
    <n v="0.61284700000000003"/>
    <n v="0.60243100000000005"/>
    <x v="326"/>
    <n v="0.38008999999999998"/>
    <n v="31651200"/>
  </r>
  <r>
    <x v="934"/>
    <n v="0.60243100000000005"/>
    <n v="0.60243100000000005"/>
    <n v="0.58680600000000005"/>
    <x v="323"/>
    <n v="0.37844800000000001"/>
    <n v="56937600"/>
  </r>
  <r>
    <x v="935"/>
    <n v="0.60069399999999995"/>
    <n v="0.61458299999999999"/>
    <n v="0.60069399999999995"/>
    <x v="322"/>
    <n v="0.38555800000000001"/>
    <n v="67118400"/>
  </r>
  <r>
    <x v="936"/>
    <n v="0.61284700000000003"/>
    <n v="0.61458299999999999"/>
    <n v="0.60763900000000004"/>
    <x v="327"/>
    <n v="0.38610499999999998"/>
    <n v="38232000"/>
  </r>
  <r>
    <x v="937"/>
    <n v="0.61718799999999996"/>
    <n v="0.61805600000000005"/>
    <n v="0.60763900000000004"/>
    <x v="328"/>
    <n v="0.38337100000000002"/>
    <n v="17971200"/>
  </r>
  <r>
    <x v="938"/>
    <n v="0.60763900000000004"/>
    <n v="0.609375"/>
    <n v="0.59548599999999996"/>
    <x v="329"/>
    <n v="0.37954300000000002"/>
    <n v="37281600"/>
  </r>
  <r>
    <x v="939"/>
    <n v="0.60416700000000001"/>
    <n v="0.61284700000000003"/>
    <n v="0.59895799999999999"/>
    <x v="330"/>
    <n v="0.380637"/>
    <n v="56664000"/>
  </r>
  <r>
    <x v="940"/>
    <n v="0.60763900000000004"/>
    <n v="0.61111099999999996"/>
    <n v="0.58506899999999995"/>
    <x v="331"/>
    <n v="0.37407400000000002"/>
    <n v="85896000"/>
  </r>
  <r>
    <x v="941"/>
    <n v="0.58333299999999999"/>
    <n v="0.60590299999999997"/>
    <n v="0.58159700000000003"/>
    <x v="330"/>
    <n v="0.380637"/>
    <n v="111211200"/>
  </r>
  <r>
    <x v="942"/>
    <n v="0.60503499999999999"/>
    <n v="0.609375"/>
    <n v="0.58940999999999999"/>
    <x v="332"/>
    <n v="0.37188599999999999"/>
    <n v="52070400"/>
  </r>
  <r>
    <x v="943"/>
    <n v="0.59027799999999997"/>
    <n v="0.60590299999999997"/>
    <n v="0.58593799999999996"/>
    <x v="333"/>
    <n v="0.377355"/>
    <n v="40536000"/>
  </r>
  <r>
    <x v="944"/>
    <n v="0.60243100000000005"/>
    <n v="0.60590299999999997"/>
    <n v="0.59722200000000003"/>
    <x v="329"/>
    <n v="0.37954300000000002"/>
    <n v="44049600"/>
  </r>
  <r>
    <x v="945"/>
    <n v="0.60069399999999995"/>
    <n v="0.60416700000000001"/>
    <n v="0.58680600000000005"/>
    <x v="308"/>
    <n v="0.37297999999999998"/>
    <n v="57384000"/>
  </r>
  <r>
    <x v="946"/>
    <n v="0.58333299999999999"/>
    <n v="0.59895799999999999"/>
    <n v="0.58333299999999999"/>
    <x v="331"/>
    <n v="0.37407400000000002"/>
    <n v="40348800"/>
  </r>
  <r>
    <x v="947"/>
    <n v="0.59375"/>
    <n v="0.59722200000000003"/>
    <n v="0.57638900000000004"/>
    <x v="334"/>
    <n v="0.37079299999999998"/>
    <n v="107625600"/>
  </r>
  <r>
    <x v="948"/>
    <n v="0.58854200000000001"/>
    <n v="0.58854200000000001"/>
    <n v="0.56944399999999995"/>
    <x v="335"/>
    <n v="0.36313600000000001"/>
    <n v="103377600"/>
  </r>
  <r>
    <x v="949"/>
    <n v="0.58159700000000003"/>
    <n v="0.58159700000000003"/>
    <n v="0.55902799999999997"/>
    <x v="336"/>
    <n v="0.36094900000000002"/>
    <n v="93628800"/>
  </r>
  <r>
    <x v="950"/>
    <n v="0.56076400000000004"/>
    <n v="0.57291700000000001"/>
    <n v="0.55034700000000003"/>
    <x v="301"/>
    <n v="0.35001100000000002"/>
    <n v="95788800"/>
  </r>
  <r>
    <x v="951"/>
    <n v="0.54861099999999996"/>
    <n v="0.55381899999999995"/>
    <n v="0.54166700000000001"/>
    <x v="337"/>
    <n v="0.34126000000000001"/>
    <n v="61516800"/>
  </r>
  <r>
    <x v="952"/>
    <n v="0.54340299999999997"/>
    <n v="0.54513900000000004"/>
    <n v="0.52083299999999999"/>
    <x v="312"/>
    <n v="0.33688499999999999"/>
    <n v="107164800"/>
  </r>
  <r>
    <x v="953"/>
    <n v="0.53645799999999999"/>
    <n v="0.54861099999999996"/>
    <n v="0.53472200000000003"/>
    <x v="316"/>
    <n v="0.34235399999999999"/>
    <n v="78436800"/>
  </r>
  <r>
    <x v="954"/>
    <n v="0.54340299999999997"/>
    <n v="0.55902799999999997"/>
    <n v="0.53993100000000005"/>
    <x v="338"/>
    <n v="0.35165099999999999"/>
    <n v="70473600"/>
  </r>
  <r>
    <x v="955"/>
    <n v="0.56423599999999996"/>
    <n v="0.57638900000000004"/>
    <n v="0.56076400000000004"/>
    <x v="339"/>
    <n v="0.36204199999999997"/>
    <n v="111009600"/>
  </r>
  <r>
    <x v="956"/>
    <n v="0.57465299999999997"/>
    <n v="0.57986099999999996"/>
    <n v="0.56423599999999996"/>
    <x v="340"/>
    <n v="0.36532300000000001"/>
    <n v="55022400"/>
  </r>
  <r>
    <x v="957"/>
    <n v="0.57986099999999996"/>
    <n v="0.59895799999999999"/>
    <n v="0.57465299999999997"/>
    <x v="341"/>
    <n v="0.37516699999999997"/>
    <n v="54892800"/>
  </r>
  <r>
    <x v="958"/>
    <n v="0.59635400000000005"/>
    <n v="0.59982599999999997"/>
    <n v="0.58854200000000001"/>
    <x v="331"/>
    <n v="0.37407400000000002"/>
    <n v="23817600"/>
  </r>
  <r>
    <x v="959"/>
    <n v="0.59722200000000003"/>
    <n v="0.60416700000000001"/>
    <n v="0.59201400000000004"/>
    <x v="333"/>
    <n v="0.377355"/>
    <n v="62798400"/>
  </r>
  <r>
    <x v="960"/>
    <n v="0.57986099999999996"/>
    <n v="0.59548599999999996"/>
    <n v="0.57638900000000004"/>
    <x v="308"/>
    <n v="0.37297999999999998"/>
    <n v="123091200"/>
  </r>
  <r>
    <x v="961"/>
    <n v="0.59375"/>
    <n v="0.61284700000000003"/>
    <n v="0.59201400000000004"/>
    <x v="330"/>
    <n v="0.380637"/>
    <n v="77630400"/>
  </r>
  <r>
    <x v="962"/>
    <n v="0.60590299999999997"/>
    <n v="0.61631899999999995"/>
    <n v="0.59809000000000001"/>
    <x v="342"/>
    <n v="0.388293"/>
    <n v="53035200"/>
  </r>
  <r>
    <x v="963"/>
    <n v="0.62152799999999997"/>
    <n v="0.62673599999999996"/>
    <n v="0.61458299999999999"/>
    <x v="343"/>
    <n v="0.39048100000000002"/>
    <n v="113774400"/>
  </r>
  <r>
    <x v="964"/>
    <n v="0.61979200000000001"/>
    <n v="0.63888900000000004"/>
    <n v="0.61631899999999995"/>
    <x v="344"/>
    <n v="0.40196500000000002"/>
    <n v="125740800"/>
  </r>
  <r>
    <x v="965"/>
    <n v="0.63541700000000001"/>
    <n v="0.63888900000000004"/>
    <n v="0.62152799999999997"/>
    <x v="345"/>
    <n v="0.392121"/>
    <n v="69566400"/>
  </r>
  <r>
    <x v="966"/>
    <n v="0.62152799999999997"/>
    <n v="0.63194399999999995"/>
    <n v="0.61458299999999999"/>
    <x v="346"/>
    <n v="0.39813700000000002"/>
    <n v="58982400"/>
  </r>
  <r>
    <x v="967"/>
    <n v="0.63194399999999995"/>
    <n v="0.63888900000000004"/>
    <n v="0.62673599999999996"/>
    <x v="347"/>
    <n v="0.39704299999999998"/>
    <n v="70300800"/>
  </r>
  <r>
    <x v="968"/>
    <n v="0.625"/>
    <n v="0.63368100000000005"/>
    <n v="0.61197900000000005"/>
    <x v="327"/>
    <n v="0.38610499999999998"/>
    <n v="103766400"/>
  </r>
  <r>
    <x v="969"/>
    <n v="0.61631899999999995"/>
    <n v="0.62152799999999997"/>
    <n v="0.59027799999999997"/>
    <x v="323"/>
    <n v="0.37844800000000001"/>
    <n v="95774400"/>
  </r>
  <r>
    <x v="970"/>
    <n v="0.59114599999999995"/>
    <n v="0.60590299999999997"/>
    <n v="0.58333299999999999"/>
    <x v="348"/>
    <n v="0.37680799999999998"/>
    <n v="148910400"/>
  </r>
  <r>
    <x v="971"/>
    <n v="0.59548599999999996"/>
    <n v="0.60416700000000001"/>
    <n v="0.59201400000000004"/>
    <x v="348"/>
    <n v="0.37680799999999998"/>
    <n v="62467200"/>
  </r>
  <r>
    <x v="972"/>
    <n v="0.59375"/>
    <n v="0.61979200000000001"/>
    <n v="0.58680600000000005"/>
    <x v="342"/>
    <n v="0.388293"/>
    <n v="80092800"/>
  </r>
  <r>
    <x v="973"/>
    <n v="0.61111099999999996"/>
    <n v="0.62847200000000003"/>
    <n v="0.60416700000000001"/>
    <x v="325"/>
    <n v="0.382824"/>
    <n v="97588800"/>
  </r>
  <r>
    <x v="974"/>
    <n v="0.62239599999999995"/>
    <n v="0.65972200000000003"/>
    <n v="0.62152799999999997"/>
    <x v="349"/>
    <n v="0.41563699999999998"/>
    <n v="292363200"/>
  </r>
  <r>
    <x v="975"/>
    <n v="0.66145799999999999"/>
    <n v="0.66666700000000001"/>
    <n v="0.64930600000000005"/>
    <x v="350"/>
    <n v="0.41180899999999998"/>
    <n v="99259200"/>
  </r>
  <r>
    <x v="976"/>
    <n v="0.65277799999999997"/>
    <n v="0.65277799999999997"/>
    <n v="0.62847200000000003"/>
    <x v="347"/>
    <n v="0.39704299999999998"/>
    <n v="167688000"/>
  </r>
  <r>
    <x v="977"/>
    <n v="0.63194399999999995"/>
    <n v="0.63368100000000005"/>
    <n v="0.61979200000000001"/>
    <x v="351"/>
    <n v="0.39266800000000002"/>
    <n v="139348800"/>
  </r>
  <r>
    <x v="978"/>
    <n v="0.61111099999999996"/>
    <n v="0.63020799999999999"/>
    <n v="0.60503499999999999"/>
    <x v="347"/>
    <n v="0.39704299999999998"/>
    <n v="180345600"/>
  </r>
  <r>
    <x v="979"/>
    <n v="0.63541700000000001"/>
    <n v="0.64236099999999996"/>
    <n v="0.62847200000000003"/>
    <x v="347"/>
    <n v="0.39704299999999998"/>
    <n v="112752000"/>
  </r>
  <r>
    <x v="980"/>
    <n v="0.62847200000000003"/>
    <n v="0.63368100000000005"/>
    <n v="0.625"/>
    <x v="347"/>
    <n v="0.39704299999999998"/>
    <n v="68083200"/>
  </r>
  <r>
    <x v="981"/>
    <n v="0.63541700000000001"/>
    <n v="0.640625"/>
    <n v="0.62673599999999996"/>
    <x v="352"/>
    <n v="0.40032499999999999"/>
    <n v="55080000"/>
  </r>
  <r>
    <x v="982"/>
    <n v="0.63715299999999997"/>
    <n v="0.64236099999999996"/>
    <n v="0.625"/>
    <x v="353"/>
    <n v="0.399231"/>
    <n v="73108800"/>
  </r>
  <r>
    <x v="983"/>
    <n v="0.63888900000000004"/>
    <n v="0.64236099999999996"/>
    <n v="0.63368100000000005"/>
    <x v="354"/>
    <n v="0.4047"/>
    <n v="112939200"/>
  </r>
  <r>
    <x v="984"/>
    <n v="0.64236099999999996"/>
    <n v="0.65451400000000004"/>
    <n v="0.64236099999999996"/>
    <x v="355"/>
    <n v="0.41016900000000001"/>
    <n v="89193600"/>
  </r>
  <r>
    <x v="985"/>
    <n v="0.64583299999999999"/>
    <n v="0.66319399999999995"/>
    <n v="0.64583299999999999"/>
    <x v="355"/>
    <n v="0.41016900000000001"/>
    <n v="71395200"/>
  </r>
  <r>
    <x v="986"/>
    <n v="0.65017400000000003"/>
    <n v="0.65451400000000004"/>
    <n v="0.64756899999999995"/>
    <x v="356"/>
    <n v="0.412356"/>
    <n v="59731200"/>
  </r>
  <r>
    <x v="987"/>
    <n v="0.65277799999999997"/>
    <n v="0.65451400000000004"/>
    <n v="0.640625"/>
    <x v="357"/>
    <n v="0.41126299999999999"/>
    <n v="81964800"/>
  </r>
  <r>
    <x v="988"/>
    <n v="0.64930600000000005"/>
    <n v="0.65798599999999996"/>
    <n v="0.64583299999999999"/>
    <x v="358"/>
    <n v="0.40798099999999998"/>
    <n v="134150400"/>
  </r>
  <r>
    <x v="989"/>
    <n v="0.65017400000000003"/>
    <n v="0.65972200000000003"/>
    <n v="0.64756899999999995"/>
    <x v="356"/>
    <n v="0.412356"/>
    <n v="95227200"/>
  </r>
  <r>
    <x v="990"/>
    <n v="0.65451400000000004"/>
    <n v="0.65798599999999996"/>
    <n v="0.65277799999999997"/>
    <x v="359"/>
    <n v="0.41344999999999998"/>
    <n v="62380800"/>
  </r>
  <r>
    <x v="991"/>
    <n v="0.65625"/>
    <n v="0.66319399999999995"/>
    <n v="0.65277799999999997"/>
    <x v="360"/>
    <n v="0.41454400000000002"/>
    <n v="56088000"/>
  </r>
  <r>
    <x v="992"/>
    <n v="0.65972200000000003"/>
    <n v="0.66145799999999999"/>
    <n v="0.65625"/>
    <x v="360"/>
    <n v="0.41454400000000002"/>
    <n v="58752000"/>
  </r>
  <r>
    <x v="993"/>
    <n v="0.66145799999999999"/>
    <n v="0.66145799999999999"/>
    <n v="0.65625"/>
    <x v="349"/>
    <n v="0.41563699999999998"/>
    <n v="35870400"/>
  </r>
  <r>
    <x v="994"/>
    <n v="0.65972200000000003"/>
    <n v="0.68055600000000005"/>
    <n v="0.65972200000000003"/>
    <x v="361"/>
    <n v="0.42438799999999999"/>
    <n v="89496000"/>
  </r>
  <r>
    <x v="995"/>
    <n v="0.68229200000000001"/>
    <n v="0.68576400000000004"/>
    <n v="0.67881899999999995"/>
    <x v="362"/>
    <n v="0.42876300000000001"/>
    <n v="70876800"/>
  </r>
  <r>
    <x v="996"/>
    <n v="0.67881899999999995"/>
    <n v="0.69791700000000001"/>
    <n v="0.67361099999999996"/>
    <x v="363"/>
    <n v="0.43860700000000002"/>
    <n v="132652800"/>
  </r>
  <r>
    <x v="997"/>
    <n v="0.68576400000000004"/>
    <n v="0.69444399999999995"/>
    <n v="0.66493100000000005"/>
    <x v="364"/>
    <n v="0.42055999999999999"/>
    <n v="103348800"/>
  </r>
  <r>
    <x v="998"/>
    <n v="0.671875"/>
    <n v="0.68229200000000001"/>
    <n v="0.66840299999999997"/>
    <x v="365"/>
    <n v="0.421653"/>
    <n v="60811200"/>
  </r>
  <r>
    <x v="999"/>
    <n v="0.66493100000000005"/>
    <n v="0.67881899999999995"/>
    <n v="0.66319399999999995"/>
    <x v="366"/>
    <n v="0.42657499999999998"/>
    <n v="56851200"/>
  </r>
  <r>
    <x v="1000"/>
    <n v="0.67708299999999999"/>
    <n v="0.69444399999999995"/>
    <n v="0.67534700000000003"/>
    <x v="367"/>
    <n v="0.43423200000000001"/>
    <n v="69220800"/>
  </r>
  <r>
    <x v="1001"/>
    <n v="0.69097200000000003"/>
    <n v="0.69097200000000003"/>
    <n v="0.68055600000000005"/>
    <x v="362"/>
    <n v="0.42876300000000001"/>
    <n v="62020800"/>
  </r>
  <r>
    <x v="1002"/>
    <n v="0.68055600000000005"/>
    <n v="0.69270799999999999"/>
    <n v="0.68055600000000005"/>
    <x v="368"/>
    <n v="0.43204399999999998"/>
    <n v="39312000"/>
  </r>
  <r>
    <x v="1003"/>
    <n v="0.68402799999999997"/>
    <n v="0.70659700000000003"/>
    <n v="0.68402799999999997"/>
    <x v="369"/>
    <n v="0.43751299999999999"/>
    <n v="76867200"/>
  </r>
  <r>
    <x v="1004"/>
    <n v="0.69618100000000005"/>
    <n v="0.72482599999999997"/>
    <n v="0.69531299999999996"/>
    <x v="370"/>
    <n v="0.45391999999999999"/>
    <n v="100209600"/>
  </r>
  <r>
    <x v="1005"/>
    <n v="0.71875"/>
    <n v="0.734375"/>
    <n v="0.71006899999999995"/>
    <x v="371"/>
    <n v="0.46048299999999998"/>
    <n v="75528000"/>
  </r>
  <r>
    <x v="1006"/>
    <n v="0.72743100000000005"/>
    <n v="0.72916700000000001"/>
    <n v="0.71180600000000005"/>
    <x v="372"/>
    <n v="0.45720100000000002"/>
    <n v="68630400"/>
  </r>
  <r>
    <x v="1007"/>
    <n v="0.72743100000000005"/>
    <n v="0.73263900000000004"/>
    <n v="0.71354200000000001"/>
    <x v="373"/>
    <n v="0.44954499999999997"/>
    <n v="47606400"/>
  </r>
  <r>
    <x v="1008"/>
    <n v="0.71527799999999997"/>
    <n v="0.74479200000000001"/>
    <n v="0.70659700000000003"/>
    <x v="374"/>
    <n v="0.46485700000000002"/>
    <n v="88977600"/>
  </r>
  <r>
    <x v="1009"/>
    <n v="0.73611099999999996"/>
    <n v="0.75"/>
    <n v="0.73090299999999997"/>
    <x v="375"/>
    <n v="0.465951"/>
    <n v="75744000"/>
  </r>
  <r>
    <x v="1010"/>
    <n v="0.73784700000000003"/>
    <n v="0.75520799999999999"/>
    <n v="0.73611099999999996"/>
    <x v="376"/>
    <n v="0.47360799999999997"/>
    <n v="68875200"/>
  </r>
  <r>
    <x v="1011"/>
    <n v="0.75347200000000003"/>
    <n v="0.75694399999999995"/>
    <n v="0.73784700000000003"/>
    <x v="374"/>
    <n v="0.46485700000000002"/>
    <n v="85204800"/>
  </r>
  <r>
    <x v="1012"/>
    <n v="0.74479200000000001"/>
    <n v="0.75520799999999999"/>
    <n v="0.73611099999999996"/>
    <x v="377"/>
    <n v="0.47196700000000003"/>
    <n v="130968000"/>
  </r>
  <r>
    <x v="1013"/>
    <n v="0.74913200000000002"/>
    <n v="0.77604200000000001"/>
    <n v="0.74826400000000004"/>
    <x v="378"/>
    <n v="0.48563899999999999"/>
    <n v="81676800"/>
  </r>
  <r>
    <x v="1014"/>
    <n v="0.77777799999999997"/>
    <n v="0.80034700000000003"/>
    <n v="0.77604200000000001"/>
    <x v="379"/>
    <n v="0.49876500000000001"/>
    <n v="118900800"/>
  </r>
  <r>
    <x v="1015"/>
    <n v="0.78993100000000005"/>
    <n v="0.8125"/>
    <n v="0.78472200000000003"/>
    <x v="380"/>
    <n v="0.50970300000000002"/>
    <n v="81172800"/>
  </r>
  <r>
    <x v="1016"/>
    <n v="0.80902799999999997"/>
    <n v="0.81076400000000004"/>
    <n v="0.78125"/>
    <x v="381"/>
    <n v="0.49439"/>
    <n v="92145600"/>
  </r>
  <r>
    <x v="1017"/>
    <n v="0.78385400000000005"/>
    <n v="0.80208299999999999"/>
    <n v="0.77951400000000004"/>
    <x v="382"/>
    <n v="0.49548399999999998"/>
    <n v="69840000"/>
  </r>
  <r>
    <x v="1018"/>
    <n v="0.78819399999999995"/>
    <n v="0.78993100000000005"/>
    <n v="0.765625"/>
    <x v="383"/>
    <n v="0.48673300000000003"/>
    <n v="92419200"/>
  </r>
  <r>
    <x v="1019"/>
    <n v="0.77777799999999997"/>
    <n v="0.78645799999999999"/>
    <n v="0.75694399999999995"/>
    <x v="384"/>
    <n v="0.48235800000000001"/>
    <n v="53596800"/>
  </r>
  <r>
    <x v="1020"/>
    <n v="0.76736099999999996"/>
    <n v="0.78125"/>
    <n v="0.76649299999999998"/>
    <x v="385"/>
    <n v="0.48782799999999998"/>
    <n v="55929600"/>
  </r>
  <r>
    <x v="1021"/>
    <n v="0.77170099999999997"/>
    <n v="0.78472200000000003"/>
    <n v="0.76909700000000003"/>
    <x v="386"/>
    <n v="0.49220199999999997"/>
    <n v="52516800"/>
  </r>
  <r>
    <x v="1022"/>
    <n v="0.77951400000000004"/>
    <n v="0.77951400000000004"/>
    <n v="0.75347200000000003"/>
    <x v="378"/>
    <n v="0.48563899999999999"/>
    <n v="99532800"/>
  </r>
  <r>
    <x v="1023"/>
    <n v="0.76649299999999998"/>
    <n v="0.78298599999999996"/>
    <n v="0.76388900000000004"/>
    <x v="387"/>
    <n v="0.48345199999999999"/>
    <n v="64785600"/>
  </r>
  <r>
    <x v="1024"/>
    <n v="0.76388900000000004"/>
    <n v="0.77083299999999999"/>
    <n v="0.75868100000000005"/>
    <x v="388"/>
    <n v="0.48454599999999998"/>
    <n v="36691200"/>
  </r>
  <r>
    <x v="1025"/>
    <n v="0.76215299999999997"/>
    <n v="0.78038200000000002"/>
    <n v="0.75868100000000005"/>
    <x v="385"/>
    <n v="0.48782799999999998"/>
    <n v="74059200"/>
  </r>
  <r>
    <x v="1026"/>
    <n v="0.78298599999999996"/>
    <n v="0.80729200000000001"/>
    <n v="0.78125"/>
    <x v="389"/>
    <n v="0.50751599999999997"/>
    <n v="84643200"/>
  </r>
  <r>
    <x v="1027"/>
    <n v="0.80555600000000005"/>
    <n v="0.82465299999999997"/>
    <n v="0.80208299999999999"/>
    <x v="390"/>
    <n v="0.51188999999999996"/>
    <n v="79646400"/>
  </r>
  <r>
    <x v="1028"/>
    <n v="0.81163200000000002"/>
    <n v="0.81336799999999998"/>
    <n v="0.79513900000000004"/>
    <x v="391"/>
    <n v="0.50095199999999995"/>
    <n v="66369600"/>
  </r>
  <r>
    <x v="1029"/>
    <n v="0.796875"/>
    <n v="0.80034700000000003"/>
    <n v="0.78645799999999999"/>
    <x v="392"/>
    <n v="0.499859"/>
    <n v="72878400"/>
  </r>
  <r>
    <x v="1030"/>
    <n v="0.78993100000000005"/>
    <n v="0.80034700000000003"/>
    <n v="0.78993100000000005"/>
    <x v="391"/>
    <n v="0.50095199999999995"/>
    <n v="31176000"/>
  </r>
  <r>
    <x v="1031"/>
    <n v="0.79600700000000002"/>
    <n v="0.81944399999999995"/>
    <n v="0.79513900000000004"/>
    <x v="393"/>
    <n v="0.51626499999999997"/>
    <n v="45187200"/>
  </r>
  <r>
    <x v="1032"/>
    <n v="0.82291700000000001"/>
    <n v="0.84027799999999997"/>
    <n v="0.82118100000000005"/>
    <x v="394"/>
    <n v="0.52939099999999994"/>
    <n v="70372800"/>
  </r>
  <r>
    <x v="1033"/>
    <n v="0.84548599999999996"/>
    <n v="0.84722200000000003"/>
    <n v="0.83333299999999999"/>
    <x v="395"/>
    <n v="0.52829700000000002"/>
    <n v="48254400"/>
  </r>
  <r>
    <x v="1034"/>
    <n v="0.84722200000000003"/>
    <n v="0.85763900000000004"/>
    <n v="0.83506899999999995"/>
    <x v="396"/>
    <n v="0.53157799999999999"/>
    <n v="39470400"/>
  </r>
  <r>
    <x v="1035"/>
    <n v="0.84201400000000004"/>
    <n v="0.875"/>
    <n v="0.82986099999999996"/>
    <x v="397"/>
    <n v="0.542516"/>
    <n v="66780000"/>
  </r>
  <r>
    <x v="1036"/>
    <n v="0.85590299999999997"/>
    <n v="0.85763900000000004"/>
    <n v="0.81597200000000003"/>
    <x v="398"/>
    <n v="0.53048499999999998"/>
    <n v="97797600"/>
  </r>
  <r>
    <x v="1037"/>
    <n v="0.83333299999999999"/>
    <n v="0.85069399999999995"/>
    <n v="0.82291700000000001"/>
    <x v="399"/>
    <n v="0.52064100000000002"/>
    <n v="58003200"/>
  </r>
  <r>
    <x v="1038"/>
    <n v="0.83333299999999999"/>
    <n v="0.84027799999999997"/>
    <n v="0.81597200000000003"/>
    <x v="400"/>
    <n v="0.51845300000000005"/>
    <n v="44661600"/>
  </r>
  <r>
    <x v="1039"/>
    <n v="0.81770799999999999"/>
    <n v="0.82638900000000004"/>
    <n v="0.79513900000000004"/>
    <x v="393"/>
    <n v="0.51626499999999997"/>
    <n v="64879200"/>
  </r>
  <r>
    <x v="1040"/>
    <n v="0.82986099999999996"/>
    <n v="0.82986099999999996"/>
    <n v="0.78472200000000003"/>
    <x v="389"/>
    <n v="0.50751599999999997"/>
    <n v="47916000"/>
  </r>
  <r>
    <x v="1041"/>
    <n v="0.80902799999999997"/>
    <n v="0.81597200000000003"/>
    <n v="0.79166700000000001"/>
    <x v="389"/>
    <n v="0.50751599999999997"/>
    <n v="53870400"/>
  </r>
  <r>
    <x v="1042"/>
    <n v="0.8125"/>
    <n v="0.81597200000000003"/>
    <n v="0.79513900000000004"/>
    <x v="401"/>
    <n v="0.50204599999999999"/>
    <n v="46296000"/>
  </r>
  <r>
    <x v="1043"/>
    <n v="0.79340299999999997"/>
    <n v="0.79513900000000004"/>
    <n v="0.77256899999999995"/>
    <x v="386"/>
    <n v="0.49220199999999997"/>
    <n v="57124800"/>
  </r>
  <r>
    <x v="1044"/>
    <n v="0.78125"/>
    <n v="0.80555600000000005"/>
    <n v="0.77430600000000005"/>
    <x v="389"/>
    <n v="0.50751599999999997"/>
    <n v="51451200"/>
  </r>
  <r>
    <x v="1045"/>
    <n v="0.81597200000000003"/>
    <n v="0.81597200000000003"/>
    <n v="0.78819399999999995"/>
    <x v="392"/>
    <n v="0.499859"/>
    <n v="52473600"/>
  </r>
  <r>
    <x v="1046"/>
    <n v="0.79513900000000004"/>
    <n v="0.8125"/>
    <n v="0.79513900000000004"/>
    <x v="380"/>
    <n v="0.50970300000000002"/>
    <n v="33264000"/>
  </r>
  <r>
    <x v="1047"/>
    <n v="0.8125"/>
    <n v="0.82986099999999996"/>
    <n v="0.80902799999999997"/>
    <x v="393"/>
    <n v="0.51626499999999997"/>
    <n v="45892800"/>
  </r>
  <r>
    <x v="1048"/>
    <n v="0.82638900000000004"/>
    <n v="0.85763900000000004"/>
    <n v="0.81944399999999995"/>
    <x v="402"/>
    <n v="0.54032899999999995"/>
    <n v="47815200"/>
  </r>
  <r>
    <x v="1049"/>
    <n v="0.86111099999999996"/>
    <n v="0.91666700000000001"/>
    <n v="0.85416700000000001"/>
    <x v="403"/>
    <n v="0.56001699999999999"/>
    <n v="97351200"/>
  </r>
  <r>
    <x v="1050"/>
    <n v="0.87152799999999997"/>
    <n v="0.88194399999999995"/>
    <n v="0.86458299999999999"/>
    <x v="404"/>
    <n v="0.54907899999999998"/>
    <n v="50824800"/>
  </r>
  <r>
    <x v="1051"/>
    <n v="0.87326400000000004"/>
    <n v="0.87847200000000003"/>
    <n v="0.86111099999999996"/>
    <x v="404"/>
    <n v="0.54907899999999998"/>
    <n v="35164800"/>
  </r>
  <r>
    <x v="1052"/>
    <n v="0.87847200000000003"/>
    <n v="0.90277799999999997"/>
    <n v="0.87152799999999997"/>
    <x v="405"/>
    <n v="0.564392"/>
    <n v="48801600"/>
  </r>
  <r>
    <x v="1053"/>
    <n v="0.90277799999999997"/>
    <n v="0.91666700000000001"/>
    <n v="0.87847200000000003"/>
    <x v="406"/>
    <n v="0.57314200000000004"/>
    <n v="49168800"/>
  </r>
  <r>
    <x v="1054"/>
    <n v="0.92013900000000004"/>
    <n v="0.92361099999999996"/>
    <n v="0.90972200000000003"/>
    <x v="407"/>
    <n v="0.57532899999999998"/>
    <n v="47232000"/>
  </r>
  <r>
    <x v="1055"/>
    <n v="0.90972200000000003"/>
    <n v="0.91319399999999995"/>
    <n v="0.89236099999999996"/>
    <x v="408"/>
    <n v="0.56657999999999997"/>
    <n v="54122400"/>
  </r>
  <r>
    <x v="1056"/>
    <n v="0.89583299999999999"/>
    <n v="0.89930600000000005"/>
    <n v="0.88194399999999995"/>
    <x v="408"/>
    <n v="0.56657999999999997"/>
    <n v="38556000"/>
  </r>
  <r>
    <x v="1057"/>
    <n v="0.89930600000000005"/>
    <n v="0.90625"/>
    <n v="0.89236099999999996"/>
    <x v="408"/>
    <n v="0.56657999999999997"/>
    <n v="41731200"/>
  </r>
  <r>
    <x v="1058"/>
    <n v="0.89756899999999995"/>
    <n v="0.96180600000000005"/>
    <n v="0.89583299999999999"/>
    <x v="409"/>
    <n v="0.59720600000000001"/>
    <n v="101822400"/>
  </r>
  <r>
    <x v="1059"/>
    <n v="0.95486099999999996"/>
    <n v="1.0034719999999999"/>
    <n v="0.95486099999999996"/>
    <x v="410"/>
    <n v="0.61470599999999997"/>
    <n v="159595200"/>
  </r>
  <r>
    <x v="1060"/>
    <n v="0.98611099999999996"/>
    <n v="1.0034719999999999"/>
    <n v="0.95833299999999999"/>
    <x v="411"/>
    <n v="0.62564399999999998"/>
    <n v="142437600"/>
  </r>
  <r>
    <x v="1061"/>
    <n v="1"/>
    <n v="1.0555559999999999"/>
    <n v="0.99826400000000004"/>
    <x v="412"/>
    <n v="0.66392600000000002"/>
    <n v="141184800"/>
  </r>
  <r>
    <x v="1062"/>
    <n v="1.0659719999999999"/>
    <n v="1.09375"/>
    <n v="1.0555559999999999"/>
    <x v="413"/>
    <n v="0.66939499999999996"/>
    <n v="146649600"/>
  </r>
  <r>
    <x v="1063"/>
    <n v="1.03125"/>
    <n v="1.0590280000000001"/>
    <n v="1.0277780000000001"/>
    <x v="414"/>
    <n v="0.64970700000000003"/>
    <n v="104688000"/>
  </r>
  <r>
    <x v="1064"/>
    <n v="1.03125"/>
    <n v="1.048611"/>
    <n v="1.0277780000000001"/>
    <x v="415"/>
    <n v="0.65845699999999996"/>
    <n v="61480800"/>
  </r>
  <r>
    <x v="1065"/>
    <n v="1.0572919999999999"/>
    <n v="1.0625"/>
    <n v="1.0381940000000001"/>
    <x v="416"/>
    <n v="0.66064500000000004"/>
    <n v="65073600"/>
  </r>
  <r>
    <x v="1066"/>
    <n v="1.0381940000000001"/>
    <n v="1.048611"/>
    <n v="1.0069440000000001"/>
    <x v="417"/>
    <n v="0.63876900000000003"/>
    <n v="69436800"/>
  </r>
  <r>
    <x v="1067"/>
    <n v="1.017361"/>
    <n v="1.045139"/>
    <n v="1.013889"/>
    <x v="418"/>
    <n v="0.65736399999999995"/>
    <n v="69069600"/>
  </r>
  <r>
    <x v="1068"/>
    <n v="1.0399309999999999"/>
    <n v="1.0729169999999999"/>
    <n v="1.0277780000000001"/>
    <x v="413"/>
    <n v="0.66939499999999996"/>
    <n v="59162400"/>
  </r>
  <r>
    <x v="1069"/>
    <n v="1.0729169999999999"/>
    <n v="1.076389"/>
    <n v="1.0104169999999999"/>
    <x v="419"/>
    <n v="0.64205100000000004"/>
    <n v="80258400"/>
  </r>
  <r>
    <x v="1070"/>
    <n v="1.017361"/>
    <n v="1.0347219999999999"/>
    <n v="1.0069440000000001"/>
    <x v="417"/>
    <n v="0.63876900000000003"/>
    <n v="86292000"/>
  </r>
  <r>
    <x v="1071"/>
    <n v="1.017361"/>
    <n v="1.0243059999999999"/>
    <n v="0.98611099999999996"/>
    <x v="420"/>
    <n v="0.630019"/>
    <n v="90122400"/>
  </r>
  <r>
    <x v="1072"/>
    <n v="1"/>
    <n v="1.0243059999999999"/>
    <n v="0.99305600000000005"/>
    <x v="421"/>
    <n v="0.64314400000000005"/>
    <n v="63770400"/>
  </r>
  <r>
    <x v="1073"/>
    <n v="1.013889"/>
    <n v="1.048611"/>
    <n v="1.013889"/>
    <x v="422"/>
    <n v="0.65517599999999998"/>
    <n v="58240800"/>
  </r>
  <r>
    <x v="1074"/>
    <n v="1.048611"/>
    <n v="1.0555559999999999"/>
    <n v="1.0347219999999999"/>
    <x v="412"/>
    <n v="0.66392600000000002"/>
    <n v="46656000"/>
  </r>
  <r>
    <x v="1075"/>
    <n v="1.0538190000000001"/>
    <n v="1.079861"/>
    <n v="1.0434030000000001"/>
    <x v="413"/>
    <n v="0.66939499999999996"/>
    <n v="80265600"/>
  </r>
  <r>
    <x v="1076"/>
    <n v="1.0625"/>
    <n v="1.0659719999999999"/>
    <n v="1.03125"/>
    <x v="416"/>
    <n v="0.66064500000000004"/>
    <n v="58204800"/>
  </r>
  <r>
    <x v="1077"/>
    <n v="1.0347219999999999"/>
    <n v="1.0694440000000001"/>
    <n v="1.0347219999999999"/>
    <x v="423"/>
    <n v="0.66502099999999997"/>
    <n v="51552000"/>
  </r>
  <r>
    <x v="1078"/>
    <n v="1.0520830000000001"/>
    <n v="1.0590280000000001"/>
    <n v="1.0347219999999999"/>
    <x v="422"/>
    <n v="0.65517599999999998"/>
    <n v="52790400"/>
  </r>
  <r>
    <x v="1079"/>
    <n v="1.0381940000000001"/>
    <n v="1.048611"/>
    <n v="1.0243059999999999"/>
    <x v="424"/>
    <n v="0.65627000000000002"/>
    <n v="41716800"/>
  </r>
  <r>
    <x v="1080"/>
    <n v="1.046875"/>
    <n v="1.079861"/>
    <n v="1.0416669999999999"/>
    <x v="425"/>
    <n v="0.67923900000000004"/>
    <n v="39564000"/>
  </r>
  <r>
    <x v="1081"/>
    <n v="1.076389"/>
    <n v="1.079861"/>
    <n v="1.0555559999999999"/>
    <x v="426"/>
    <n v="0.67376999999999998"/>
    <n v="34308000"/>
  </r>
  <r>
    <x v="1082"/>
    <n v="1.0729169999999999"/>
    <n v="1.079861"/>
    <n v="1.048611"/>
    <x v="427"/>
    <n v="0.66283199999999998"/>
    <n v="34034400"/>
  </r>
  <r>
    <x v="1083"/>
    <n v="1.0503469999999999"/>
    <n v="1.0625"/>
    <n v="1.03125"/>
    <x v="428"/>
    <n v="0.65189399999999997"/>
    <n v="68983200"/>
  </r>
  <r>
    <x v="1084"/>
    <n v="1.045139"/>
    <n v="1.0503469999999999"/>
    <n v="1.0347219999999999"/>
    <x v="429"/>
    <n v="0.65408200000000005"/>
    <n v="50198400"/>
  </r>
  <r>
    <x v="1085"/>
    <n v="1.0381940000000001"/>
    <n v="1.0625"/>
    <n v="1.0347219999999999"/>
    <x v="430"/>
    <n v="0.66720800000000002"/>
    <n v="35762400"/>
  </r>
  <r>
    <x v="1086"/>
    <n v="1.064236"/>
    <n v="1.0729169999999999"/>
    <n v="1.0572919999999999"/>
    <x v="413"/>
    <n v="0.66939499999999996"/>
    <n v="30052800"/>
  </r>
  <r>
    <x v="1087"/>
    <n v="1.0625"/>
    <n v="1.0625"/>
    <n v="1.045139"/>
    <x v="423"/>
    <n v="0.66502099999999997"/>
    <n v="34956000"/>
  </r>
  <r>
    <x v="1088"/>
    <n v="1.0555559999999999"/>
    <n v="1.0555559999999999"/>
    <n v="1.0225690000000001"/>
    <x v="431"/>
    <n v="0.64533200000000002"/>
    <n v="35474400"/>
  </r>
  <r>
    <x v="1089"/>
    <n v="1.0190969999999999"/>
    <n v="1.0208330000000001"/>
    <n v="0.99305600000000005"/>
    <x v="420"/>
    <n v="0.630019"/>
    <n v="79257600"/>
  </r>
  <r>
    <x v="1090"/>
    <n v="0.99305600000000005"/>
    <n v="1.0069440000000001"/>
    <n v="0.98263900000000004"/>
    <x v="432"/>
    <n v="0.63220600000000005"/>
    <n v="61855200"/>
  </r>
  <r>
    <x v="1091"/>
    <n v="1.001736"/>
    <n v="1.0277780000000001"/>
    <n v="0.99652799999999997"/>
    <x v="433"/>
    <n v="0.640957"/>
    <n v="41803200"/>
  </r>
  <r>
    <x v="1092"/>
    <n v="1.0208330000000001"/>
    <n v="1.0381940000000001"/>
    <n v="1.017361"/>
    <x v="414"/>
    <n v="0.64970700000000003"/>
    <n v="37317600"/>
  </r>
  <r>
    <x v="1093"/>
    <n v="1.03125"/>
    <n v="1.0416669999999999"/>
    <n v="1.0208330000000001"/>
    <x v="431"/>
    <n v="0.64533200000000002"/>
    <n v="29700000"/>
  </r>
  <r>
    <x v="1094"/>
    <n v="1.0277780000000001"/>
    <n v="1.0520830000000001"/>
    <n v="1.017361"/>
    <x v="416"/>
    <n v="0.66064500000000004"/>
    <n v="28922400"/>
  </r>
  <r>
    <x v="1095"/>
    <n v="1.045139"/>
    <n v="1.079861"/>
    <n v="1.045139"/>
    <x v="434"/>
    <n v="0.67814600000000003"/>
    <n v="89042400"/>
  </r>
  <r>
    <x v="1096"/>
    <n v="1.079861"/>
    <n v="1.1180559999999999"/>
    <n v="1.076389"/>
    <x v="435"/>
    <n v="0.68580200000000002"/>
    <n v="93628800"/>
  </r>
  <r>
    <x v="1097"/>
    <n v="1.09375"/>
    <n v="1.1215280000000001"/>
    <n v="1.0902780000000001"/>
    <x v="436"/>
    <n v="0.69345800000000002"/>
    <n v="48729600"/>
  </r>
  <r>
    <x v="1098"/>
    <n v="1.1024309999999999"/>
    <n v="1.1041669999999999"/>
    <n v="1.0694440000000001"/>
    <x v="437"/>
    <n v="0.68033299999999997"/>
    <n v="54475200"/>
  </r>
  <r>
    <x v="1099"/>
    <n v="1.0729169999999999"/>
    <n v="1.079861"/>
    <n v="1.048611"/>
    <x v="423"/>
    <n v="0.66502099999999997"/>
    <n v="41853600"/>
  </r>
  <r>
    <x v="1100"/>
    <n v="1.046875"/>
    <n v="1.0659719999999999"/>
    <n v="1.0243059999999999"/>
    <x v="438"/>
    <n v="0.67158200000000001"/>
    <n v="63136800"/>
  </r>
  <r>
    <x v="1101"/>
    <n v="1.0694440000000001"/>
    <n v="1.0868059999999999"/>
    <n v="1.013889"/>
    <x v="433"/>
    <n v="0.640957"/>
    <n v="87724800"/>
  </r>
  <r>
    <x v="1102"/>
    <n v="1.017361"/>
    <n v="1.0277780000000001"/>
    <n v="0.98958299999999999"/>
    <x v="420"/>
    <n v="0.630019"/>
    <n v="74203200"/>
  </r>
  <r>
    <x v="1103"/>
    <n v="1.0069440000000001"/>
    <n v="1.0069440000000001"/>
    <n v="0.92708299999999999"/>
    <x v="439"/>
    <n v="0.60814299999999999"/>
    <n v="137102400"/>
  </r>
  <r>
    <x v="1104"/>
    <n v="0.97222200000000003"/>
    <n v="0.99652799999999997"/>
    <n v="0.95486099999999996"/>
    <x v="411"/>
    <n v="0.62564399999999998"/>
    <n v="60148800"/>
  </r>
  <r>
    <x v="1105"/>
    <n v="0.98958299999999999"/>
    <n v="1.0277780000000001"/>
    <n v="0.91666700000000001"/>
    <x v="440"/>
    <n v="0.60158100000000003"/>
    <n v="303321600"/>
  </r>
  <r>
    <x v="1106"/>
    <n v="0.95138900000000004"/>
    <n v="0.97222200000000003"/>
    <n v="0.94097200000000003"/>
    <x v="441"/>
    <n v="0.60376799999999997"/>
    <n v="51019200"/>
  </r>
  <r>
    <x v="1107"/>
    <n v="0.95138900000000004"/>
    <n v="0.95833299999999999"/>
    <n v="0.91319399999999995"/>
    <x v="442"/>
    <n v="0.59501700000000002"/>
    <n v="87955200"/>
  </r>
  <r>
    <x v="1108"/>
    <n v="0.94791700000000001"/>
    <n v="0.953125"/>
    <n v="0.91666700000000001"/>
    <x v="443"/>
    <n v="0.58189199999999996"/>
    <n v="42307200"/>
  </r>
  <r>
    <x v="1109"/>
    <n v="0.92013900000000004"/>
    <n v="0.93402799999999997"/>
    <n v="0.88541700000000001"/>
    <x v="444"/>
    <n v="0.58408000000000004"/>
    <n v="111117600"/>
  </r>
  <r>
    <x v="1110"/>
    <n v="0.90972200000000003"/>
    <n v="0.92708299999999999"/>
    <n v="0.89236099999999996"/>
    <x v="445"/>
    <n v="0.57751799999999998"/>
    <n v="91771200"/>
  </r>
  <r>
    <x v="1111"/>
    <n v="0.90972200000000003"/>
    <n v="0.91319399999999995"/>
    <n v="0.83854200000000001"/>
    <x v="446"/>
    <n v="0.553454"/>
    <n v="117180000"/>
  </r>
  <r>
    <x v="1112"/>
    <n v="0.85416700000000001"/>
    <n v="0.86111099999999996"/>
    <n v="0.8125"/>
    <x v="394"/>
    <n v="0.52939099999999994"/>
    <n v="113184000"/>
  </r>
  <r>
    <x v="1113"/>
    <n v="0.85069399999999995"/>
    <n v="0.86458299999999999"/>
    <n v="0.83333299999999999"/>
    <x v="447"/>
    <n v="0.53595300000000001"/>
    <n v="91065600"/>
  </r>
  <r>
    <x v="1114"/>
    <n v="0.86805600000000005"/>
    <n v="0.88888900000000004"/>
    <n v="0.86111099999999996"/>
    <x v="448"/>
    <n v="0.55564199999999997"/>
    <n v="86263200"/>
  </r>
  <r>
    <x v="1115"/>
    <n v="0.88888900000000004"/>
    <n v="0.91319399999999995"/>
    <n v="0.87847200000000003"/>
    <x v="449"/>
    <n v="0.56986099999999995"/>
    <n v="77054400"/>
  </r>
  <r>
    <x v="1116"/>
    <n v="0.90451400000000004"/>
    <n v="0.91319399999999995"/>
    <n v="0.87152799999999997"/>
    <x v="405"/>
    <n v="0.564392"/>
    <n v="73188000"/>
  </r>
  <r>
    <x v="1117"/>
    <n v="0.88541700000000001"/>
    <n v="0.90972200000000003"/>
    <n v="0.87847200000000003"/>
    <x v="450"/>
    <n v="0.56876700000000002"/>
    <n v="53942400"/>
  </r>
  <r>
    <x v="1118"/>
    <n v="0.90625"/>
    <n v="0.91493100000000005"/>
    <n v="0.88541700000000001"/>
    <x v="451"/>
    <n v="0.56220400000000004"/>
    <n v="33710400"/>
  </r>
  <r>
    <x v="1119"/>
    <n v="0.89930600000000005"/>
    <n v="0.91319399999999995"/>
    <n v="0.89236099999999996"/>
    <x v="451"/>
    <n v="0.56220400000000004"/>
    <n v="51408000"/>
  </r>
  <r>
    <x v="1120"/>
    <n v="0.88888900000000004"/>
    <n v="0.89583299999999999"/>
    <n v="0.85763900000000004"/>
    <x v="402"/>
    <n v="0.54032899999999995"/>
    <n v="53330400"/>
  </r>
  <r>
    <x v="1121"/>
    <n v="0.84722200000000003"/>
    <n v="0.85763900000000004"/>
    <n v="0.83333299999999999"/>
    <x v="452"/>
    <n v="0.52720400000000001"/>
    <n v="95227200"/>
  </r>
  <r>
    <x v="1122"/>
    <n v="0.83680600000000005"/>
    <n v="0.84027799999999997"/>
    <n v="0.77083299999999999"/>
    <x v="378"/>
    <n v="0.48563899999999999"/>
    <n v="113601600"/>
  </r>
  <r>
    <x v="1123"/>
    <n v="0.75347200000000003"/>
    <n v="0.76041700000000001"/>
    <n v="0.70486099999999996"/>
    <x v="453"/>
    <n v="0.47470099999999998"/>
    <n v="165650400"/>
  </r>
  <r>
    <x v="1124"/>
    <n v="0.76388900000000004"/>
    <n v="0.77083299999999999"/>
    <n v="0.74131899999999995"/>
    <x v="454"/>
    <n v="0.470327"/>
    <n v="79236000"/>
  </r>
  <r>
    <x v="1125"/>
    <n v="0.72916700000000001"/>
    <n v="0.74652799999999997"/>
    <n v="0.70833299999999999"/>
    <x v="455"/>
    <n v="0.45282600000000001"/>
    <n v="107445600"/>
  </r>
  <r>
    <x v="1126"/>
    <n v="0.72569399999999995"/>
    <n v="0.80208299999999999"/>
    <n v="0.72569399999999995"/>
    <x v="391"/>
    <n v="0.50095199999999995"/>
    <n v="95443200"/>
  </r>
  <r>
    <x v="1127"/>
    <n v="0.81944399999999995"/>
    <n v="0.85069399999999995"/>
    <n v="0.81944399999999995"/>
    <x v="396"/>
    <n v="0.53157799999999999"/>
    <n v="110116800"/>
  </r>
  <r>
    <x v="1128"/>
    <n v="0.83680600000000005"/>
    <n v="0.87847200000000003"/>
    <n v="0.83333299999999999"/>
    <x v="456"/>
    <n v="0.55017300000000002"/>
    <n v="79826400"/>
  </r>
  <r>
    <x v="1129"/>
    <n v="0.86805600000000005"/>
    <n v="0.88541700000000001"/>
    <n v="0.83333299999999999"/>
    <x v="394"/>
    <n v="0.52939099999999994"/>
    <n v="77954400"/>
  </r>
  <r>
    <x v="1130"/>
    <n v="0.84375"/>
    <n v="0.86631899999999995"/>
    <n v="0.83333299999999999"/>
    <x v="457"/>
    <n v="0.52501600000000004"/>
    <n v="65383200"/>
  </r>
  <r>
    <x v="1131"/>
    <n v="0.83333299999999999"/>
    <n v="0.86111099999999996"/>
    <n v="0.82291700000000001"/>
    <x v="458"/>
    <n v="0.53814099999999998"/>
    <n v="40737600"/>
  </r>
  <r>
    <x v="1132"/>
    <n v="0.84722200000000003"/>
    <n v="0.86805600000000005"/>
    <n v="0.84375"/>
    <x v="459"/>
    <n v="0.54470399999999997"/>
    <n v="47376000"/>
  </r>
  <r>
    <x v="1133"/>
    <n v="0.86805600000000005"/>
    <n v="0.875"/>
    <n v="0.8125"/>
    <x v="393"/>
    <n v="0.51626499999999997"/>
    <n v="54676800"/>
  </r>
  <r>
    <x v="1134"/>
    <n v="0.80555600000000005"/>
    <n v="0.8125"/>
    <n v="0.78125"/>
    <x v="460"/>
    <n v="0.50314000000000003"/>
    <n v="115617600"/>
  </r>
  <r>
    <x v="1135"/>
    <n v="0.79166700000000001"/>
    <n v="0.81944399999999995"/>
    <n v="0.78472200000000003"/>
    <x v="461"/>
    <n v="0.505328"/>
    <n v="53704800"/>
  </r>
  <r>
    <x v="1136"/>
    <n v="0.81597200000000003"/>
    <n v="0.83333299999999999"/>
    <n v="0.77430600000000005"/>
    <x v="385"/>
    <n v="0.48782799999999998"/>
    <n v="74246400"/>
  </r>
  <r>
    <x v="1137"/>
    <n v="0.77777799999999997"/>
    <n v="0.78472200000000003"/>
    <n v="0.75694399999999995"/>
    <x v="378"/>
    <n v="0.48563899999999999"/>
    <n v="78868800"/>
  </r>
  <r>
    <x v="1138"/>
    <n v="0.78125"/>
    <n v="0.80208299999999999"/>
    <n v="0.77430600000000005"/>
    <x v="401"/>
    <n v="0.50204599999999999"/>
    <n v="75016800"/>
  </r>
  <r>
    <x v="1139"/>
    <n v="0.80555600000000005"/>
    <n v="0.8125"/>
    <n v="0.79166700000000001"/>
    <x v="460"/>
    <n v="0.50314000000000003"/>
    <n v="49867200"/>
  </r>
  <r>
    <x v="1140"/>
    <n v="0.79166700000000001"/>
    <n v="0.83680600000000005"/>
    <n v="0.78298599999999996"/>
    <x v="462"/>
    <n v="0.52282799999999996"/>
    <n v="67672800"/>
  </r>
  <r>
    <x v="1141"/>
    <n v="0.82638900000000004"/>
    <n v="0.85763900000000004"/>
    <n v="0.82291700000000001"/>
    <x v="396"/>
    <n v="0.53157799999999999"/>
    <n v="70394400"/>
  </r>
  <r>
    <x v="1142"/>
    <n v="0.84201400000000004"/>
    <n v="0.86631899999999995"/>
    <n v="0.82986099999999996"/>
    <x v="402"/>
    <n v="0.54032899999999995"/>
    <n v="60638400"/>
  </r>
  <r>
    <x v="1143"/>
    <n v="0.875"/>
    <n v="0.87847200000000003"/>
    <n v="0.85763900000000004"/>
    <x v="397"/>
    <n v="0.542516"/>
    <n v="52696800"/>
  </r>
  <r>
    <x v="1144"/>
    <n v="0.85416700000000001"/>
    <n v="0.86111099999999996"/>
    <n v="0.82986099999999996"/>
    <x v="462"/>
    <n v="0.52282799999999996"/>
    <n v="52444800"/>
  </r>
  <r>
    <x v="1145"/>
    <n v="0.82986099999999996"/>
    <n v="0.84375"/>
    <n v="0.8125"/>
    <x v="394"/>
    <n v="0.52939099999999994"/>
    <n v="79891200"/>
  </r>
  <r>
    <x v="1146"/>
    <n v="0.82638900000000004"/>
    <n v="0.83333299999999999"/>
    <n v="0.79861099999999996"/>
    <x v="390"/>
    <n v="0.51188999999999996"/>
    <n v="81439200"/>
  </r>
  <r>
    <x v="1147"/>
    <n v="0.828125"/>
    <n v="0.84027799999999997"/>
    <n v="0.81597200000000003"/>
    <x v="395"/>
    <n v="0.52829700000000002"/>
    <n v="53308800"/>
  </r>
  <r>
    <x v="1148"/>
    <n v="0.84027799999999997"/>
    <n v="0.84375"/>
    <n v="0.82638900000000004"/>
    <x v="452"/>
    <n v="0.52720400000000001"/>
    <n v="39268800"/>
  </r>
  <r>
    <x v="1149"/>
    <n v="0.84722200000000003"/>
    <n v="0.85416700000000001"/>
    <n v="0.80902799999999997"/>
    <x v="400"/>
    <n v="0.51845300000000005"/>
    <n v="65728800"/>
  </r>
  <r>
    <x v="1150"/>
    <n v="0.80902799999999997"/>
    <n v="0.88194399999999995"/>
    <n v="0.80555600000000005"/>
    <x v="463"/>
    <n v="0.55126600000000003"/>
    <n v="97984800"/>
  </r>
  <r>
    <x v="1151"/>
    <n v="0.89930600000000005"/>
    <n v="0.9375"/>
    <n v="0.89583299999999999"/>
    <x v="464"/>
    <n v="0.58736200000000005"/>
    <n v="131623200"/>
  </r>
  <r>
    <x v="1152"/>
    <n v="0.94791700000000001"/>
    <n v="0.95138900000000004"/>
    <n v="0.90972200000000003"/>
    <x v="465"/>
    <n v="0.57642400000000005"/>
    <n v="83469600"/>
  </r>
  <r>
    <x v="1153"/>
    <n v="0.90972200000000003"/>
    <n v="0.93576400000000004"/>
    <n v="0.90625"/>
    <x v="407"/>
    <n v="0.57532899999999998"/>
    <n v="57600000"/>
  </r>
  <r>
    <x v="1154"/>
    <n v="0.90625"/>
    <n v="0.91319399999999995"/>
    <n v="0.88888900000000004"/>
    <x v="466"/>
    <n v="0.56111"/>
    <n v="69292800"/>
  </r>
  <r>
    <x v="1155"/>
    <n v="0.875"/>
    <n v="0.91319399999999995"/>
    <n v="0.86458299999999999"/>
    <x v="408"/>
    <n v="0.56657999999999997"/>
    <n v="82101600"/>
  </r>
  <r>
    <x v="1156"/>
    <n v="0.91666700000000001"/>
    <n v="0.92361099999999996"/>
    <n v="0.89583299999999999"/>
    <x v="445"/>
    <n v="0.57751799999999998"/>
    <n v="38678400"/>
  </r>
  <r>
    <x v="1157"/>
    <n v="0.90625"/>
    <n v="0.91666700000000001"/>
    <n v="0.86805600000000005"/>
    <x v="463"/>
    <n v="0.55126600000000003"/>
    <n v="66376800"/>
  </r>
  <r>
    <x v="1158"/>
    <n v="0.86111099999999996"/>
    <n v="0.86458299999999999"/>
    <n v="0.81944399999999995"/>
    <x v="399"/>
    <n v="0.52064100000000002"/>
    <n v="115596000"/>
  </r>
  <r>
    <x v="1159"/>
    <n v="0.82986099999999996"/>
    <n v="0.83680600000000005"/>
    <n v="0.79166700000000001"/>
    <x v="389"/>
    <n v="0.50751599999999997"/>
    <n v="83815200"/>
  </r>
  <r>
    <x v="1160"/>
    <n v="0.8125"/>
    <n v="0.81597200000000003"/>
    <n v="0.75"/>
    <x v="379"/>
    <n v="0.49876500000000001"/>
    <n v="109252800"/>
  </r>
  <r>
    <x v="1161"/>
    <n v="0.80208299999999999"/>
    <n v="0.80555600000000005"/>
    <n v="0.77083299999999999"/>
    <x v="381"/>
    <n v="0.49439"/>
    <n v="130334400"/>
  </r>
  <r>
    <x v="1162"/>
    <n v="0.78819399999999995"/>
    <n v="0.80034700000000003"/>
    <n v="0.75"/>
    <x v="467"/>
    <n v="0.47798299999999999"/>
    <n v="300888000"/>
  </r>
  <r>
    <x v="1163"/>
    <n v="0.76041700000000001"/>
    <n v="0.78819399999999995"/>
    <n v="0.74305600000000005"/>
    <x v="381"/>
    <n v="0.49439"/>
    <n v="135820800"/>
  </r>
  <r>
    <x v="1164"/>
    <n v="0.79166700000000001"/>
    <n v="0.85416700000000001"/>
    <n v="0.78819399999999995"/>
    <x v="468"/>
    <n v="0.53486"/>
    <n v="123739200"/>
  </r>
  <r>
    <x v="1165"/>
    <n v="0.86111099999999996"/>
    <n v="0.87847200000000003"/>
    <n v="0.84027799999999997"/>
    <x v="397"/>
    <n v="0.542516"/>
    <n v="170337600"/>
  </r>
  <r>
    <x v="1166"/>
    <n v="0.86111099999999996"/>
    <n v="0.89930600000000005"/>
    <n v="0.85763900000000004"/>
    <x v="403"/>
    <n v="0.56001699999999999"/>
    <n v="80294400"/>
  </r>
  <r>
    <x v="1167"/>
    <n v="0.88541700000000001"/>
    <n v="0.91319399999999995"/>
    <n v="0.87847200000000003"/>
    <x v="451"/>
    <n v="0.56220400000000004"/>
    <n v="71884800"/>
  </r>
  <r>
    <x v="1168"/>
    <n v="0.88194399999999995"/>
    <n v="0.90972200000000003"/>
    <n v="0.87847200000000003"/>
    <x v="469"/>
    <n v="0.572048"/>
    <n v="54734400"/>
  </r>
  <r>
    <x v="1169"/>
    <n v="0.90972200000000003"/>
    <n v="0.92013900000000004"/>
    <n v="0.88888900000000004"/>
    <x v="408"/>
    <n v="0.56657999999999997"/>
    <n v="51501600"/>
  </r>
  <r>
    <x v="1170"/>
    <n v="0.88541700000000001"/>
    <n v="0.89583299999999999"/>
    <n v="0.87847200000000003"/>
    <x v="470"/>
    <n v="0.55454800000000004"/>
    <n v="59126400"/>
  </r>
  <r>
    <x v="1171"/>
    <n v="0.88541700000000001"/>
    <n v="0.89236099999999996"/>
    <n v="0.86111099999999996"/>
    <x v="471"/>
    <n v="0.54689200000000004"/>
    <n v="67881600"/>
  </r>
  <r>
    <x v="1172"/>
    <n v="0.86805600000000005"/>
    <n v="0.89236099999999996"/>
    <n v="0.86111099999999996"/>
    <x v="472"/>
    <n v="0.55892299999999995"/>
    <n v="52567200"/>
  </r>
  <r>
    <x v="1173"/>
    <n v="0.89583299999999999"/>
    <n v="0.90625"/>
    <n v="0.88541700000000001"/>
    <x v="473"/>
    <n v="0.55782900000000002"/>
    <n v="61200000"/>
  </r>
  <r>
    <x v="1174"/>
    <n v="0.875"/>
    <n v="0.89236099999999996"/>
    <n v="0.87152799999999997"/>
    <x v="448"/>
    <n v="0.55564199999999997"/>
    <n v="49442400"/>
  </r>
  <r>
    <x v="1175"/>
    <n v="0.88194399999999995"/>
    <n v="0.91319399999999995"/>
    <n v="0.87847200000000003"/>
    <x v="450"/>
    <n v="0.56876700000000002"/>
    <n v="74764800"/>
  </r>
  <r>
    <x v="1176"/>
    <n v="0.90625"/>
    <n v="0.91666700000000001"/>
    <n v="0.89930600000000005"/>
    <x v="474"/>
    <n v="0.57423599999999997"/>
    <n v="50702400"/>
  </r>
  <r>
    <x v="1177"/>
    <n v="0.91319399999999995"/>
    <n v="0.92361099999999996"/>
    <n v="0.88194399999999995"/>
    <x v="451"/>
    <n v="0.56220400000000004"/>
    <n v="59212800"/>
  </r>
  <r>
    <x v="1178"/>
    <n v="0.88541700000000001"/>
    <n v="0.89930600000000005"/>
    <n v="0.88194399999999995"/>
    <x v="473"/>
    <n v="0.55782900000000002"/>
    <n v="63100800"/>
  </r>
  <r>
    <x v="1179"/>
    <n v="0.88194399999999995"/>
    <n v="0.89930600000000005"/>
    <n v="0.875"/>
    <x v="448"/>
    <n v="0.55564199999999997"/>
    <n v="43466400"/>
  </r>
  <r>
    <x v="1180"/>
    <n v="0.89930600000000005"/>
    <n v="0.90972200000000003"/>
    <n v="0.89583299999999999"/>
    <x v="408"/>
    <n v="0.56657999999999997"/>
    <n v="43344000"/>
  </r>
  <r>
    <x v="1181"/>
    <n v="0.91666700000000001"/>
    <n v="0.96180600000000005"/>
    <n v="0.91666700000000001"/>
    <x v="475"/>
    <n v="0.60267400000000004"/>
    <n v="87660000"/>
  </r>
  <r>
    <x v="1182"/>
    <n v="0.95486099999999996"/>
    <n v="0.96527799999999997"/>
    <n v="0.94097200000000003"/>
    <x v="476"/>
    <n v="0.60048699999999999"/>
    <n v="67658400"/>
  </r>
  <r>
    <x v="1183"/>
    <n v="0.95138900000000004"/>
    <n v="0.97222200000000003"/>
    <n v="0.94791700000000001"/>
    <x v="439"/>
    <n v="0.60814299999999999"/>
    <n v="59724000"/>
  </r>
  <r>
    <x v="1184"/>
    <n v="0.95833299999999999"/>
    <n v="0.96180600000000005"/>
    <n v="0.93402799999999997"/>
    <x v="477"/>
    <n v="0.59392400000000001"/>
    <n v="63129600"/>
  </r>
  <r>
    <x v="1185"/>
    <n v="0.9375"/>
    <n v="0.95486099999999996"/>
    <n v="0.93402799999999997"/>
    <x v="442"/>
    <n v="0.59501700000000002"/>
    <n v="67075200"/>
  </r>
  <r>
    <x v="1186"/>
    <n v="0.94444399999999995"/>
    <n v="0.96875"/>
    <n v="0.94444399999999995"/>
    <x v="439"/>
    <n v="0.60814299999999999"/>
    <n v="45554400"/>
  </r>
  <r>
    <x v="1187"/>
    <n v="0.96180600000000005"/>
    <n v="0.97916700000000001"/>
    <n v="0.94618100000000005"/>
    <x v="409"/>
    <n v="0.59720600000000001"/>
    <n v="68868000"/>
  </r>
  <r>
    <x v="1188"/>
    <n v="0.94444399999999995"/>
    <n v="0.95833299999999999"/>
    <n v="0.93055600000000005"/>
    <x v="440"/>
    <n v="0.60158100000000003"/>
    <n v="60739200"/>
  </r>
  <r>
    <x v="1189"/>
    <n v="0.96180600000000005"/>
    <n v="0.97569399999999995"/>
    <n v="0.95138900000000004"/>
    <x v="440"/>
    <n v="0.60158100000000003"/>
    <n v="22060800"/>
  </r>
  <r>
    <x v="1190"/>
    <n v="0.95138900000000004"/>
    <n v="0.97916700000000001"/>
    <n v="0.94097200000000003"/>
    <x v="410"/>
    <n v="0.61470599999999997"/>
    <n v="47577600"/>
  </r>
  <r>
    <x v="1191"/>
    <n v="0.97916700000000001"/>
    <n v="1.0034719999999999"/>
    <n v="0.96875"/>
    <x v="478"/>
    <n v="0.62892499999999996"/>
    <n v="63417600"/>
  </r>
  <r>
    <x v="1192"/>
    <n v="1.0034719999999999"/>
    <n v="1.0104169999999999"/>
    <n v="0.97569399999999995"/>
    <x v="479"/>
    <n v="0.61580000000000001"/>
    <n v="77623200"/>
  </r>
  <r>
    <x v="1193"/>
    <n v="0.97569399999999995"/>
    <n v="0.98958299999999999"/>
    <n v="0.96875"/>
    <x v="480"/>
    <n v="0.62345600000000001"/>
    <n v="65865600"/>
  </r>
  <r>
    <x v="1194"/>
    <n v="0.98958299999999999"/>
    <n v="1.03125"/>
    <n v="0.97916700000000001"/>
    <x v="432"/>
    <n v="0.63220600000000005"/>
    <n v="72165600"/>
  </r>
  <r>
    <x v="1195"/>
    <n v="1.017361"/>
    <n v="1.0347219999999999"/>
    <n v="1.0104169999999999"/>
    <x v="481"/>
    <n v="0.64642599999999995"/>
    <n v="68241600"/>
  </r>
  <r>
    <x v="1196"/>
    <n v="1.0208330000000001"/>
    <n v="1.045139"/>
    <n v="1.013889"/>
    <x v="428"/>
    <n v="0.65189399999999997"/>
    <n v="54547200"/>
  </r>
  <r>
    <x v="1197"/>
    <n v="1.0347219999999999"/>
    <n v="1.0520830000000001"/>
    <n v="1.03125"/>
    <x v="415"/>
    <n v="0.65845699999999996"/>
    <n v="68630400"/>
  </r>
  <r>
    <x v="1198"/>
    <n v="1.0590280000000001"/>
    <n v="1.0659719999999999"/>
    <n v="1.0277780000000001"/>
    <x v="429"/>
    <n v="0.65408200000000005"/>
    <n v="108201600"/>
  </r>
  <r>
    <x v="1199"/>
    <n v="1.03125"/>
    <n v="1.045139"/>
    <n v="1.0034719999999999"/>
    <x v="414"/>
    <n v="0.64970700000000003"/>
    <n v="81921600"/>
  </r>
  <r>
    <x v="1200"/>
    <n v="1.017361"/>
    <n v="1.046875"/>
    <n v="1.0104169999999999"/>
    <x v="482"/>
    <n v="0.64751999999999998"/>
    <n v="55526400"/>
  </r>
  <r>
    <x v="1201"/>
    <n v="1.017361"/>
    <n v="1.0347219999999999"/>
    <n v="1"/>
    <x v="483"/>
    <n v="0.63111200000000001"/>
    <n v="61768800"/>
  </r>
  <r>
    <x v="1202"/>
    <n v="0.99652799999999997"/>
    <n v="1.0104169999999999"/>
    <n v="0.97916700000000001"/>
    <x v="484"/>
    <n v="0.63439400000000001"/>
    <n v="71560800"/>
  </r>
  <r>
    <x v="1203"/>
    <n v="1.013889"/>
    <n v="1.0208330000000001"/>
    <n v="0.99652799999999997"/>
    <x v="485"/>
    <n v="0.63658099999999995"/>
    <n v="50709600"/>
  </r>
  <r>
    <x v="1204"/>
    <n v="1.013889"/>
    <n v="1.03125"/>
    <n v="1.0069440000000001"/>
    <x v="486"/>
    <n v="0.64423799999999998"/>
    <n v="48636000"/>
  </r>
  <r>
    <x v="1205"/>
    <n v="1.013889"/>
    <n v="1.03125"/>
    <n v="1.0069440000000001"/>
    <x v="482"/>
    <n v="0.64751999999999998"/>
    <n v="27288000"/>
  </r>
  <r>
    <x v="1206"/>
    <n v="1.0347219999999999"/>
    <n v="1.0520830000000001"/>
    <n v="1.03125"/>
    <x v="415"/>
    <n v="0.65845699999999996"/>
    <n v="51876000"/>
  </r>
  <r>
    <x v="1207"/>
    <n v="1.046875"/>
    <n v="1.0520830000000001"/>
    <n v="1.0381940000000001"/>
    <x v="422"/>
    <n v="0.65517599999999998"/>
    <n v="34264800"/>
  </r>
  <r>
    <x v="1208"/>
    <n v="1.03125"/>
    <n v="1.0555559999999999"/>
    <n v="1.0277780000000001"/>
    <x v="416"/>
    <n v="0.66064500000000004"/>
    <n v="46994400"/>
  </r>
  <r>
    <x v="1209"/>
    <n v="1.0520830000000001"/>
    <n v="1.0555559999999999"/>
    <n v="1.045139"/>
    <x v="427"/>
    <n v="0.66283199999999998"/>
    <n v="33472800"/>
  </r>
  <r>
    <x v="1210"/>
    <n v="1.048611"/>
    <n v="1.048611"/>
    <n v="1.0381940000000001"/>
    <x v="415"/>
    <n v="0.65845699999999996"/>
    <n v="13550400"/>
  </r>
  <r>
    <x v="1211"/>
    <n v="1.045139"/>
    <n v="1.0520830000000001"/>
    <n v="1.0347219999999999"/>
    <x v="424"/>
    <n v="0.65627000000000002"/>
    <n v="16214400"/>
  </r>
  <r>
    <x v="1212"/>
    <n v="1.0416669999999999"/>
    <n v="1.045139"/>
    <n v="1.0347219999999999"/>
    <x v="429"/>
    <n v="0.65408200000000005"/>
    <n v="22629600"/>
  </r>
  <r>
    <x v="1213"/>
    <n v="1.0347219999999999"/>
    <n v="1.045139"/>
    <n v="1.03125"/>
    <x v="424"/>
    <n v="0.65627000000000002"/>
    <n v="20268000"/>
  </r>
  <r>
    <x v="1214"/>
    <n v="1.0416669999999999"/>
    <n v="1.045139"/>
    <n v="1.0347219999999999"/>
    <x v="415"/>
    <n v="0.65845699999999996"/>
    <n v="23702400"/>
  </r>
  <r>
    <x v="1215"/>
    <n v="1.0416669999999999"/>
    <n v="1.045139"/>
    <n v="1.0381940000000001"/>
    <x v="429"/>
    <n v="0.65408200000000005"/>
    <n v="38109600"/>
  </r>
  <r>
    <x v="1216"/>
    <n v="1.0381940000000001"/>
    <n v="1.0555559999999999"/>
    <n v="1.0381940000000001"/>
    <x v="415"/>
    <n v="0.65845699999999996"/>
    <n v="52826400"/>
  </r>
  <r>
    <x v="1217"/>
    <n v="1.0416669999999999"/>
    <n v="1.0625"/>
    <n v="1.0416669999999999"/>
    <x v="412"/>
    <n v="0.66392600000000002"/>
    <n v="58485600"/>
  </r>
  <r>
    <x v="1218"/>
    <n v="1.045139"/>
    <n v="1.079861"/>
    <n v="1.0381940000000001"/>
    <x v="422"/>
    <n v="0.65517599999999998"/>
    <n v="87552000"/>
  </r>
  <r>
    <x v="1219"/>
    <n v="1.0381940000000001"/>
    <n v="1.045139"/>
    <n v="1.013889"/>
    <x v="421"/>
    <n v="0.64314400000000005"/>
    <n v="76442400"/>
  </r>
  <r>
    <x v="1220"/>
    <n v="1.0277780000000001"/>
    <n v="1.0520830000000001"/>
    <n v="1.0208330000000001"/>
    <x v="482"/>
    <n v="0.64751999999999998"/>
    <n v="115624800"/>
  </r>
  <r>
    <x v="1221"/>
    <n v="1.03125"/>
    <n v="1.09375"/>
    <n v="1.03125"/>
    <x v="487"/>
    <n v="0.68470799999999998"/>
    <n v="123890400"/>
  </r>
  <r>
    <x v="1222"/>
    <n v="1.0902780000000001"/>
    <n v="1.0972219999999999"/>
    <n v="1.0659719999999999"/>
    <x v="488"/>
    <n v="0.68252000000000002"/>
    <n v="62006400"/>
  </r>
  <r>
    <x v="1223"/>
    <n v="1.0729169999999999"/>
    <n v="1.076389"/>
    <n v="1.048611"/>
    <x v="438"/>
    <n v="0.67158200000000001"/>
    <n v="58658400"/>
  </r>
  <r>
    <x v="1224"/>
    <n v="1.0659719999999999"/>
    <n v="1.1041669999999999"/>
    <n v="1.0659719999999999"/>
    <x v="435"/>
    <n v="0.68580200000000002"/>
    <n v="83440800"/>
  </r>
  <r>
    <x v="1225"/>
    <n v="1.0902780000000001"/>
    <n v="1.1510419999999999"/>
    <n v="1.0868059999999999"/>
    <x v="489"/>
    <n v="0.71970900000000004"/>
    <n v="139917600"/>
  </r>
  <r>
    <x v="1226"/>
    <n v="1.1944440000000001"/>
    <n v="1.1979169999999999"/>
    <n v="1.1631940000000001"/>
    <x v="490"/>
    <n v="0.73502199999999995"/>
    <n v="163526400"/>
  </r>
  <r>
    <x v="1227"/>
    <n v="1.1458330000000001"/>
    <n v="1.1875"/>
    <n v="1.142361"/>
    <x v="491"/>
    <n v="0.74595999999999996"/>
    <n v="103032000"/>
  </r>
  <r>
    <x v="1228"/>
    <n v="1.1753469999999999"/>
    <n v="1.25"/>
    <n v="1.1753469999999999"/>
    <x v="492"/>
    <n v="0.78314899999999998"/>
    <n v="154512000"/>
  </r>
  <r>
    <x v="1229"/>
    <n v="1.2447919999999999"/>
    <n v="1.263889"/>
    <n v="1.2135419999999999"/>
    <x v="493"/>
    <n v="0.77768000000000004"/>
    <n v="113716800"/>
  </r>
  <r>
    <x v="1230"/>
    <n v="1.2256940000000001"/>
    <n v="1.2534719999999999"/>
    <n v="1.2256940000000001"/>
    <x v="494"/>
    <n v="0.77877300000000005"/>
    <n v="77083200"/>
  </r>
  <r>
    <x v="1231"/>
    <n v="1.2395830000000001"/>
    <n v="1.2621530000000001"/>
    <n v="1.232639"/>
    <x v="495"/>
    <n v="0.79189799999999999"/>
    <n v="86083200"/>
  </r>
  <r>
    <x v="1232"/>
    <n v="1.2604169999999999"/>
    <n v="1.263889"/>
    <n v="1.236111"/>
    <x v="492"/>
    <n v="0.78314899999999998"/>
    <n v="86889600"/>
  </r>
  <r>
    <x v="1233"/>
    <n v="1.236111"/>
    <n v="1.3055559999999999"/>
    <n v="1.236111"/>
    <x v="496"/>
    <n v="0.80721200000000004"/>
    <n v="130989600"/>
  </r>
  <r>
    <x v="1234"/>
    <n v="1.28125"/>
    <n v="1.310764"/>
    <n v="1.25"/>
    <x v="497"/>
    <n v="0.80939899999999998"/>
    <n v="146980800"/>
  </r>
  <r>
    <x v="1235"/>
    <n v="1.2847219999999999"/>
    <n v="1.3402780000000001"/>
    <n v="1.2708330000000001"/>
    <x v="498"/>
    <n v="0.84221299999999999"/>
    <n v="148586400"/>
  </r>
  <r>
    <x v="1236"/>
    <n v="1.3402780000000001"/>
    <n v="1.3819440000000001"/>
    <n v="1.3333330000000001"/>
    <x v="499"/>
    <n v="0.85861900000000002"/>
    <n v="111420000"/>
  </r>
  <r>
    <x v="1237"/>
    <n v="1.375"/>
    <n v="1.4027780000000001"/>
    <n v="1.3506940000000001"/>
    <x v="500"/>
    <n v="0.87283900000000003"/>
    <n v="117878400"/>
  </r>
  <r>
    <x v="1238"/>
    <n v="1.388889"/>
    <n v="1.3993059999999999"/>
    <n v="1.361111"/>
    <x v="501"/>
    <n v="0.86736899999999995"/>
    <n v="88236000"/>
  </r>
  <r>
    <x v="1239"/>
    <n v="1.3784719999999999"/>
    <n v="1.4166669999999999"/>
    <n v="1.361111"/>
    <x v="502"/>
    <n v="0.88596399999999997"/>
    <n v="88740000"/>
  </r>
  <r>
    <x v="1240"/>
    <n v="1.4027780000000001"/>
    <n v="1.4791669999999999"/>
    <n v="1.3958330000000001"/>
    <x v="503"/>
    <n v="0.92534099999999997"/>
    <n v="106351200"/>
  </r>
  <r>
    <x v="1241"/>
    <n v="1.4756940000000001"/>
    <n v="1.513889"/>
    <n v="1.420139"/>
    <x v="504"/>
    <n v="0.90127800000000002"/>
    <n v="133466400"/>
  </r>
  <r>
    <x v="1242"/>
    <n v="1.4305559999999999"/>
    <n v="1.454861"/>
    <n v="1.4131940000000001"/>
    <x v="505"/>
    <n v="0.91002700000000003"/>
    <n v="74232000"/>
  </r>
  <r>
    <x v="1243"/>
    <n v="1.4461809999999999"/>
    <n v="1.451389"/>
    <n v="1.420139"/>
    <x v="506"/>
    <n v="0.912215"/>
    <n v="152337600"/>
  </r>
  <r>
    <x v="1244"/>
    <n v="1.4340280000000001"/>
    <n v="1.454861"/>
    <n v="1.423611"/>
    <x v="507"/>
    <n v="0.90346499999999996"/>
    <n v="96206400"/>
  </r>
  <r>
    <x v="1245"/>
    <n v="1.423611"/>
    <n v="1.467014"/>
    <n v="1.4131940000000001"/>
    <x v="508"/>
    <n v="0.92315199999999997"/>
    <n v="95493600"/>
  </r>
  <r>
    <x v="1246"/>
    <n v="1.4618059999999999"/>
    <n v="1.4652780000000001"/>
    <n v="1.375"/>
    <x v="509"/>
    <n v="0.88158999999999998"/>
    <n v="133704000"/>
  </r>
  <r>
    <x v="1247"/>
    <n v="1.4097219999999999"/>
    <n v="1.4479169999999999"/>
    <n v="1.40625"/>
    <x v="507"/>
    <n v="0.90346499999999996"/>
    <n v="115452000"/>
  </r>
  <r>
    <x v="1248"/>
    <n v="1.420139"/>
    <n v="1.4375"/>
    <n v="1.4097219999999999"/>
    <x v="510"/>
    <n v="0.89690199999999998"/>
    <n v="66564000"/>
  </r>
  <r>
    <x v="1249"/>
    <n v="1.4131940000000001"/>
    <n v="1.4444440000000001"/>
    <n v="1.4097219999999999"/>
    <x v="511"/>
    <n v="0.89908900000000003"/>
    <n v="52552800"/>
  </r>
  <r>
    <x v="1250"/>
    <n v="1.4305559999999999"/>
    <n v="1.4375"/>
    <n v="1.388889"/>
    <x v="512"/>
    <n v="0.87502599999999997"/>
    <n v="68277600"/>
  </r>
  <r>
    <x v="1251"/>
    <n v="1.3854169999999999"/>
    <n v="1.451389"/>
    <n v="1.3854169999999999"/>
    <x v="513"/>
    <n v="0.89471400000000001"/>
    <n v="105343200"/>
  </r>
  <r>
    <x v="1252"/>
    <n v="1.4340280000000001"/>
    <n v="1.4444440000000001"/>
    <n v="1.4097219999999999"/>
    <x v="504"/>
    <n v="0.90127800000000002"/>
    <n v="88524000"/>
  </r>
  <r>
    <x v="1253"/>
    <n v="1.4097219999999999"/>
    <n v="1.423611"/>
    <n v="1.3958330000000001"/>
    <x v="514"/>
    <n v="0.89033899999999999"/>
    <n v="55540800"/>
  </r>
  <r>
    <x v="1254"/>
    <n v="1.420139"/>
    <n v="1.46875"/>
    <n v="1.40625"/>
    <x v="515"/>
    <n v="0.92096500000000003"/>
    <n v="87674400"/>
  </r>
  <r>
    <x v="1255"/>
    <n v="1.4722219999999999"/>
    <n v="1.4756940000000001"/>
    <n v="1.4340280000000001"/>
    <x v="516"/>
    <n v="0.90783999999999998"/>
    <n v="55008000"/>
  </r>
  <r>
    <x v="1256"/>
    <n v="1.4305559999999999"/>
    <n v="1.4756940000000001"/>
    <n v="1.4166669999999999"/>
    <x v="503"/>
    <n v="0.92534099999999997"/>
    <n v="77724000"/>
  </r>
  <r>
    <x v="1257"/>
    <n v="1.46875"/>
    <n v="1.4930559999999999"/>
    <n v="1.451389"/>
    <x v="517"/>
    <n v="0.93627800000000005"/>
    <n v="47023200"/>
  </r>
  <r>
    <x v="1258"/>
    <n v="1.4895830000000001"/>
    <n v="1.5625"/>
    <n v="1.486111"/>
    <x v="518"/>
    <n v="0.97565400000000002"/>
    <n v="76356000"/>
  </r>
  <r>
    <x v="1259"/>
    <n v="1.5625"/>
    <n v="1.5694440000000001"/>
    <n v="1.482639"/>
    <x v="519"/>
    <n v="0.93846499999999999"/>
    <n v="101088000"/>
  </r>
  <r>
    <x v="1260"/>
    <n v="1.4479169999999999"/>
    <n v="1.4930559999999999"/>
    <n v="1.4375"/>
    <x v="505"/>
    <n v="0.91002700000000003"/>
    <n v="165391200"/>
  </r>
  <r>
    <x v="1261"/>
    <n v="1.451389"/>
    <n v="1.4722219999999999"/>
    <n v="1.4131940000000001"/>
    <x v="510"/>
    <n v="0.89690199999999998"/>
    <n v="134697600"/>
  </r>
  <r>
    <x v="1262"/>
    <n v="1.4131940000000001"/>
    <n v="1.423611"/>
    <n v="1.357639"/>
    <x v="520"/>
    <n v="0.86846400000000001"/>
    <n v="160970400"/>
  </r>
  <r>
    <x v="1263"/>
    <n v="1.3645830000000001"/>
    <n v="1.373264"/>
    <n v="1.328125"/>
    <x v="521"/>
    <n v="0.83783799999999997"/>
    <n v="152884800"/>
  </r>
  <r>
    <x v="1264"/>
    <n v="1.3333330000000001"/>
    <n v="1.404514"/>
    <n v="1.3333330000000001"/>
    <x v="522"/>
    <n v="0.87940099999999999"/>
    <n v="110268000"/>
  </r>
  <r>
    <x v="1265"/>
    <n v="1.4097219999999999"/>
    <n v="1.4097219999999999"/>
    <n v="1.3472219999999999"/>
    <x v="523"/>
    <n v="0.85752600000000001"/>
    <n v="100216800"/>
  </r>
  <r>
    <x v="1266"/>
    <n v="1.3645830000000001"/>
    <n v="1.3715280000000001"/>
    <n v="1.3368059999999999"/>
    <x v="524"/>
    <n v="0.84549399999999997"/>
    <n v="76932000"/>
  </r>
  <r>
    <x v="1267"/>
    <n v="1.3368059999999999"/>
    <n v="1.3854169999999999"/>
    <n v="1.3333330000000001"/>
    <x v="520"/>
    <n v="0.86846400000000001"/>
    <n v="66218400"/>
  </r>
  <r>
    <x v="1268"/>
    <n v="1.3645830000000001"/>
    <n v="1.4027780000000001"/>
    <n v="1.34375"/>
    <x v="525"/>
    <n v="0.86627600000000005"/>
    <n v="92505600"/>
  </r>
  <r>
    <x v="1269"/>
    <n v="1.375"/>
    <n v="1.4027780000000001"/>
    <n v="1.3715280000000001"/>
    <x v="525"/>
    <n v="0.86627600000000005"/>
    <n v="83217600"/>
  </r>
  <r>
    <x v="1270"/>
    <n v="1.3819440000000001"/>
    <n v="1.3993059999999999"/>
    <n v="1.3055559999999999"/>
    <x v="526"/>
    <n v="0.82908700000000002"/>
    <n v="119188800"/>
  </r>
  <r>
    <x v="1271"/>
    <n v="1.3125"/>
    <n v="1.326389"/>
    <n v="1.2916669999999999"/>
    <x v="527"/>
    <n v="0.82033699999999998"/>
    <n v="95688000"/>
  </r>
  <r>
    <x v="1272"/>
    <n v="1.3055559999999999"/>
    <n v="1.3715280000000001"/>
    <n v="1.3055559999999999"/>
    <x v="528"/>
    <n v="0.85971299999999995"/>
    <n v="59824800"/>
  </r>
  <r>
    <x v="1273"/>
    <n v="1.3715280000000001"/>
    <n v="1.4618059999999999"/>
    <n v="1.3715280000000001"/>
    <x v="529"/>
    <n v="0.91987099999999999"/>
    <n v="89928000"/>
  </r>
  <r>
    <x v="1274"/>
    <n v="1.4583330000000001"/>
    <n v="1.517361"/>
    <n v="1.4583330000000001"/>
    <x v="530"/>
    <n v="0.94284100000000004"/>
    <n v="91936800"/>
  </r>
  <r>
    <x v="1275"/>
    <n v="1.4895830000000001"/>
    <n v="1.5034719999999999"/>
    <n v="1.4722219999999999"/>
    <x v="531"/>
    <n v="0.92862100000000003"/>
    <n v="30492000"/>
  </r>
  <r>
    <x v="1276"/>
    <n v="1.4722219999999999"/>
    <n v="1.4965280000000001"/>
    <n v="1.451389"/>
    <x v="532"/>
    <n v="0.934091"/>
    <n v="59205600"/>
  </r>
  <r>
    <x v="1277"/>
    <n v="1.4930559999999999"/>
    <n v="1.5625"/>
    <n v="1.482639"/>
    <x v="533"/>
    <n v="0.98221700000000001"/>
    <n v="96256800"/>
  </r>
  <r>
    <x v="1278"/>
    <n v="1.5659719999999999"/>
    <n v="1.6215280000000001"/>
    <n v="1.5659719999999999"/>
    <x v="534"/>
    <n v="0.99534199999999995"/>
    <n v="91778400"/>
  </r>
  <r>
    <x v="1279"/>
    <n v="1.5833330000000001"/>
    <n v="1.6215280000000001"/>
    <n v="1.5659719999999999"/>
    <x v="534"/>
    <n v="0.99534199999999995"/>
    <n v="73850400"/>
  </r>
  <r>
    <x v="1280"/>
    <n v="1.5833330000000001"/>
    <n v="1.5868059999999999"/>
    <n v="1.513889"/>
    <x v="535"/>
    <n v="0.96252899999999997"/>
    <n v="108914400"/>
  </r>
  <r>
    <x v="1281"/>
    <n v="1.5277780000000001"/>
    <n v="1.5729169999999999"/>
    <n v="1.5208330000000001"/>
    <x v="536"/>
    <n v="0.97456100000000001"/>
    <n v="46526400"/>
  </r>
  <r>
    <x v="1282"/>
    <n v="1.548611"/>
    <n v="1.5729169999999999"/>
    <n v="1.5243059999999999"/>
    <x v="537"/>
    <n v="0.96471700000000005"/>
    <n v="60768000"/>
  </r>
  <r>
    <x v="1283"/>
    <n v="1.5243059999999999"/>
    <n v="1.53125"/>
    <n v="1.4652780000000001"/>
    <x v="538"/>
    <n v="0.94065399999999999"/>
    <n v="74340000"/>
  </r>
  <r>
    <x v="1284"/>
    <n v="1.5069440000000001"/>
    <n v="1.548611"/>
    <n v="1.5"/>
    <x v="539"/>
    <n v="0.971279"/>
    <n v="47937600"/>
  </r>
  <r>
    <x v="1285"/>
    <n v="1.5208330000000001"/>
    <n v="1.5277780000000001"/>
    <n v="1.4409719999999999"/>
    <x v="519"/>
    <n v="0.93846499999999999"/>
    <n v="176731200"/>
  </r>
  <r>
    <x v="1286"/>
    <n v="1.4722219999999999"/>
    <n v="1.5868059999999999"/>
    <n v="1.4583330000000001"/>
    <x v="534"/>
    <n v="0.99534199999999995"/>
    <n v="88819200"/>
  </r>
  <r>
    <x v="1287"/>
    <n v="1.579861"/>
    <n v="1.5902780000000001"/>
    <n v="1.5277780000000001"/>
    <x v="533"/>
    <n v="0.98221700000000001"/>
    <n v="81331200"/>
  </r>
  <r>
    <x v="1288"/>
    <n v="1.5833330000000001"/>
    <n v="1.6319440000000001"/>
    <n v="1.5434030000000001"/>
    <x v="518"/>
    <n v="0.97565400000000002"/>
    <n v="128383200"/>
  </r>
  <r>
    <x v="1289"/>
    <n v="1.545139"/>
    <n v="1.5555559999999999"/>
    <n v="1.5"/>
    <x v="535"/>
    <n v="0.96252899999999997"/>
    <n v="88084800"/>
  </r>
  <r>
    <x v="1290"/>
    <n v="1.4756940000000001"/>
    <n v="1.5208330000000001"/>
    <n v="1.4583330000000001"/>
    <x v="519"/>
    <n v="0.93846499999999999"/>
    <n v="96588000"/>
  </r>
  <r>
    <x v="1291"/>
    <n v="1.4722219999999999"/>
    <n v="1.4756940000000001"/>
    <n v="1.4131940000000001"/>
    <x v="540"/>
    <n v="0.893621"/>
    <n v="139708800"/>
  </r>
  <r>
    <x v="1292"/>
    <n v="1.420139"/>
    <n v="1.4305559999999999"/>
    <n v="1.3958330000000001"/>
    <x v="541"/>
    <n v="0.88924499999999995"/>
    <n v="103910400"/>
  </r>
  <r>
    <x v="1293"/>
    <n v="1.4097219999999999"/>
    <n v="1.454861"/>
    <n v="1.3958330000000001"/>
    <x v="504"/>
    <n v="0.90127800000000002"/>
    <n v="82130400"/>
  </r>
  <r>
    <x v="1294"/>
    <n v="1.423611"/>
    <n v="1.4409719999999999"/>
    <n v="1.3958330000000001"/>
    <x v="509"/>
    <n v="0.88158999999999998"/>
    <n v="65707200"/>
  </r>
  <r>
    <x v="1295"/>
    <n v="1.392361"/>
    <n v="1.420139"/>
    <n v="1.3715280000000001"/>
    <x v="509"/>
    <n v="0.88158999999999998"/>
    <n v="88372800"/>
  </r>
  <r>
    <x v="1296"/>
    <n v="1.40625"/>
    <n v="1.4097219999999999"/>
    <n v="1.357639"/>
    <x v="542"/>
    <n v="0.85533800000000004"/>
    <n v="71258400"/>
  </r>
  <r>
    <x v="1297"/>
    <n v="1.357639"/>
    <n v="1.3784719999999999"/>
    <n v="1.3333330000000001"/>
    <x v="525"/>
    <n v="0.86627600000000005"/>
    <n v="115178400"/>
  </r>
  <r>
    <x v="1298"/>
    <n v="1.3680559999999999"/>
    <n v="1.3993059999999999"/>
    <n v="1.3472219999999999"/>
    <x v="509"/>
    <n v="0.88158999999999998"/>
    <n v="111628800"/>
  </r>
  <r>
    <x v="1299"/>
    <n v="1.40625"/>
    <n v="1.423611"/>
    <n v="1.392361"/>
    <x v="522"/>
    <n v="0.87940099999999999"/>
    <n v="66888000"/>
  </r>
  <r>
    <x v="1300"/>
    <n v="1.3958330000000001"/>
    <n v="1.40625"/>
    <n v="1.3854169999999999"/>
    <x v="502"/>
    <n v="0.88596399999999997"/>
    <n v="23047200"/>
  </r>
  <r>
    <x v="1301"/>
    <n v="1.3958330000000001"/>
    <n v="1.4340280000000001"/>
    <n v="1.392361"/>
    <x v="511"/>
    <n v="0.89908900000000003"/>
    <n v="44755200"/>
  </r>
  <r>
    <x v="1302"/>
    <n v="1.4340280000000001"/>
    <n v="1.4409719999999999"/>
    <n v="1.40625"/>
    <x v="502"/>
    <n v="0.88596399999999997"/>
    <n v="50904000"/>
  </r>
  <r>
    <x v="1303"/>
    <n v="1.4027780000000001"/>
    <n v="1.4340280000000001"/>
    <n v="1.392361"/>
    <x v="504"/>
    <n v="0.90127800000000002"/>
    <n v="57592800"/>
  </r>
  <r>
    <x v="1304"/>
    <n v="1.4340280000000001"/>
    <n v="1.4722219999999999"/>
    <n v="1.4270830000000001"/>
    <x v="503"/>
    <n v="0.92534099999999997"/>
    <n v="76298400"/>
  </r>
  <r>
    <x v="1305"/>
    <n v="1.4756940000000001"/>
    <n v="1.486111"/>
    <n v="1.4166669999999999"/>
    <x v="511"/>
    <n v="0.89908900000000003"/>
    <n v="52070400"/>
  </r>
  <r>
    <x v="1306"/>
    <n v="1.4340280000000001"/>
    <n v="1.4409719999999999"/>
    <n v="1.40625"/>
    <x v="543"/>
    <n v="0.90237100000000003"/>
    <n v="68745600"/>
  </r>
  <r>
    <x v="1307"/>
    <n v="1.4253469999999999"/>
    <n v="1.4340280000000001"/>
    <n v="1.3993059999999999"/>
    <x v="502"/>
    <n v="0.88596399999999997"/>
    <n v="58816800"/>
  </r>
  <r>
    <x v="1308"/>
    <n v="1.392361"/>
    <n v="1.3958330000000001"/>
    <n v="1.342014"/>
    <x v="523"/>
    <n v="0.85752600000000001"/>
    <n v="111160800"/>
  </r>
  <r>
    <x v="1309"/>
    <n v="1.3784719999999999"/>
    <n v="1.388889"/>
    <n v="1.3680559999999999"/>
    <x v="544"/>
    <n v="0.86955700000000002"/>
    <n v="70243200"/>
  </r>
  <r>
    <x v="1310"/>
    <n v="1.375"/>
    <n v="1.3819440000000001"/>
    <n v="1.361111"/>
    <x v="520"/>
    <n v="0.86846400000000001"/>
    <n v="44812800"/>
  </r>
  <r>
    <x v="1311"/>
    <n v="1.3819440000000001"/>
    <n v="1.388889"/>
    <n v="1.357639"/>
    <x v="501"/>
    <n v="0.86736899999999995"/>
    <n v="65937600"/>
  </r>
  <r>
    <x v="1312"/>
    <n v="1.3854169999999999"/>
    <n v="1.4340280000000001"/>
    <n v="1.3819440000000001"/>
    <x v="545"/>
    <n v="0.89252699999999996"/>
    <n v="83570400"/>
  </r>
  <r>
    <x v="1313"/>
    <n v="1.4270830000000001"/>
    <n v="1.482639"/>
    <n v="1.420139"/>
    <x v="532"/>
    <n v="0.934091"/>
    <n v="88783200"/>
  </r>
  <r>
    <x v="1314"/>
    <n v="1.486111"/>
    <n v="1.5243059999999999"/>
    <n v="1.486111"/>
    <x v="546"/>
    <n v="0.95815399999999995"/>
    <n v="67752000"/>
  </r>
  <r>
    <x v="1315"/>
    <n v="1.5277780000000001"/>
    <n v="1.5625"/>
    <n v="1.5208330000000001"/>
    <x v="535"/>
    <n v="0.96252899999999997"/>
    <n v="67932000"/>
  </r>
  <r>
    <x v="1316"/>
    <n v="1.5347219999999999"/>
    <n v="1.5520830000000001"/>
    <n v="1.5277780000000001"/>
    <x v="547"/>
    <n v="0.96909100000000004"/>
    <n v="43941600"/>
  </r>
  <r>
    <x v="1317"/>
    <n v="1.545139"/>
    <n v="1.5555559999999999"/>
    <n v="1.5243059999999999"/>
    <x v="537"/>
    <n v="0.96471700000000005"/>
    <n v="64202400"/>
  </r>
  <r>
    <x v="1318"/>
    <n v="1.529514"/>
    <n v="1.5520830000000001"/>
    <n v="1.513889"/>
    <x v="537"/>
    <n v="0.96471700000000005"/>
    <n v="61833600"/>
  </r>
  <r>
    <x v="1319"/>
    <n v="1.5347219999999999"/>
    <n v="1.5416669999999999"/>
    <n v="1.5"/>
    <x v="548"/>
    <n v="0.96034200000000003"/>
    <n v="81784800"/>
  </r>
  <r>
    <x v="1320"/>
    <n v="1.5208330000000001"/>
    <n v="1.5590280000000001"/>
    <n v="1.513889"/>
    <x v="549"/>
    <n v="0.98002900000000004"/>
    <n v="46951200"/>
  </r>
  <r>
    <x v="1321"/>
    <n v="1.5555559999999999"/>
    <n v="1.576389"/>
    <n v="1.5347219999999999"/>
    <x v="550"/>
    <n v="0.98877899999999996"/>
    <n v="35035200"/>
  </r>
  <r>
    <x v="1322"/>
    <n v="1.5625"/>
    <n v="1.5868059999999999"/>
    <n v="1.5555559999999999"/>
    <x v="549"/>
    <n v="0.98002900000000004"/>
    <n v="41385600"/>
  </r>
  <r>
    <x v="1323"/>
    <n v="1.5659719999999999"/>
    <n v="1.5694440000000001"/>
    <n v="1.5347219999999999"/>
    <x v="551"/>
    <n v="0.97237300000000004"/>
    <n v="32680800"/>
  </r>
  <r>
    <x v="1324"/>
    <n v="1.5243059999999999"/>
    <n v="1.53125"/>
    <n v="1.5104169999999999"/>
    <x v="537"/>
    <n v="0.96471700000000005"/>
    <n v="51984000"/>
  </r>
  <r>
    <x v="1325"/>
    <n v="1.53125"/>
    <n v="1.5416669999999999"/>
    <n v="1.5243059999999999"/>
    <x v="552"/>
    <n v="0.96690399999999999"/>
    <n v="29498400"/>
  </r>
  <r>
    <x v="1326"/>
    <n v="1.5416669999999999"/>
    <n v="1.5694440000000001"/>
    <n v="1.5347219999999999"/>
    <x v="553"/>
    <n v="0.967997"/>
    <n v="41846400"/>
  </r>
  <r>
    <x v="1327"/>
    <n v="1.5381940000000001"/>
    <n v="1.5590280000000001"/>
    <n v="1.53125"/>
    <x v="551"/>
    <n v="0.97237300000000004"/>
    <n v="51069600"/>
  </r>
  <r>
    <x v="1328"/>
    <n v="1.5416669999999999"/>
    <n v="1.5590280000000001"/>
    <n v="1.5347219999999999"/>
    <x v="539"/>
    <n v="0.971279"/>
    <n v="38001600"/>
  </r>
  <r>
    <x v="1329"/>
    <n v="1.545139"/>
    <n v="1.579861"/>
    <n v="1.5416669999999999"/>
    <x v="554"/>
    <n v="0.99315500000000001"/>
    <n v="46360800"/>
  </r>
  <r>
    <x v="1330"/>
    <n v="1.579861"/>
    <n v="1.59375"/>
    <n v="1.5625"/>
    <x v="554"/>
    <n v="0.99315500000000001"/>
    <n v="29419200"/>
  </r>
  <r>
    <x v="1331"/>
    <n v="1.5729169999999999"/>
    <n v="1.576389"/>
    <n v="1.5243059999999999"/>
    <x v="518"/>
    <n v="0.97565400000000002"/>
    <n v="46850400"/>
  </r>
  <r>
    <x v="1332"/>
    <n v="1.5243059999999999"/>
    <n v="1.5243059999999999"/>
    <n v="1.4305559999999999"/>
    <x v="555"/>
    <n v="0.904559"/>
    <n v="157039200"/>
  </r>
  <r>
    <x v="1333"/>
    <n v="1.4027780000000001"/>
    <n v="1.4131940000000001"/>
    <n v="1.375"/>
    <x v="509"/>
    <n v="0.88158999999999998"/>
    <n v="187999200"/>
  </r>
  <r>
    <x v="1334"/>
    <n v="1.40625"/>
    <n v="1.4305559999999999"/>
    <n v="1.40625"/>
    <x v="513"/>
    <n v="0.89471400000000001"/>
    <n v="67680000"/>
  </r>
  <r>
    <x v="1335"/>
    <n v="1.4027780000000001"/>
    <n v="1.4097219999999999"/>
    <n v="1.3541669999999999"/>
    <x v="499"/>
    <n v="0.85861900000000002"/>
    <n v="79696800"/>
  </r>
  <r>
    <x v="1336"/>
    <n v="1.3784719999999999"/>
    <n v="1.392361"/>
    <n v="1.361111"/>
    <x v="556"/>
    <n v="0.86408799999999997"/>
    <n v="97228800"/>
  </r>
  <r>
    <x v="1337"/>
    <n v="1.375"/>
    <n v="1.4097219999999999"/>
    <n v="1.3645830000000001"/>
    <x v="509"/>
    <n v="0.88158999999999998"/>
    <n v="96638400"/>
  </r>
  <r>
    <x v="1338"/>
    <n v="1.4114580000000001"/>
    <n v="1.421875"/>
    <n v="1.390625"/>
    <x v="545"/>
    <n v="0.89252699999999996"/>
    <n v="56510400"/>
  </r>
  <r>
    <x v="1339"/>
    <n v="1.4114580000000001"/>
    <n v="1.4322919999999999"/>
    <n v="1.3645830000000001"/>
    <x v="557"/>
    <n v="0.89416799999999996"/>
    <n v="61526400"/>
  </r>
  <r>
    <x v="1340"/>
    <n v="1.4322919999999999"/>
    <n v="1.4921880000000001"/>
    <n v="1.4114580000000001"/>
    <x v="558"/>
    <n v="0.93682399999999999"/>
    <n v="72388800"/>
  </r>
  <r>
    <x v="1341"/>
    <n v="1.484375"/>
    <n v="1.5052080000000001"/>
    <n v="1.4166669999999999"/>
    <x v="557"/>
    <n v="0.89416799999999996"/>
    <n v="43920000"/>
  </r>
  <r>
    <x v="1342"/>
    <n v="1.34375"/>
    <n v="1.3541669999999999"/>
    <n v="1.2864580000000001"/>
    <x v="559"/>
    <n v="0.84002500000000002"/>
    <n v="191630400"/>
  </r>
  <r>
    <x v="1343"/>
    <n v="1.328125"/>
    <n v="1.328125"/>
    <n v="1.28125"/>
    <x v="560"/>
    <n v="0.81049300000000002"/>
    <n v="78758400"/>
  </r>
  <r>
    <x v="1344"/>
    <n v="1.265625"/>
    <n v="1.4010419999999999"/>
    <n v="1.2604169999999999"/>
    <x v="522"/>
    <n v="0.87940099999999999"/>
    <n v="109185600"/>
  </r>
  <r>
    <x v="1345"/>
    <n v="1.40625"/>
    <n v="1.4322919999999999"/>
    <n v="1.3854169999999999"/>
    <x v="561"/>
    <n v="0.89088599999999996"/>
    <n v="76948800"/>
  </r>
  <r>
    <x v="1346"/>
    <n v="1.421875"/>
    <n v="1.4322919999999999"/>
    <n v="1.3541669999999999"/>
    <x v="562"/>
    <n v="0.85643199999999997"/>
    <n v="67310400"/>
  </r>
  <r>
    <x v="1347"/>
    <n v="1.3697919999999999"/>
    <n v="1.390625"/>
    <n v="1.3541669999999999"/>
    <x v="544"/>
    <n v="0.86955700000000002"/>
    <n v="51148800"/>
  </r>
  <r>
    <x v="1348"/>
    <n v="1.3958330000000001"/>
    <n v="1.4270830000000001"/>
    <n v="1.375"/>
    <x v="545"/>
    <n v="0.89252699999999996"/>
    <n v="35174400"/>
  </r>
  <r>
    <x v="1349"/>
    <n v="1.4322919999999999"/>
    <n v="1.4635419999999999"/>
    <n v="1.4270830000000001"/>
    <x v="563"/>
    <n v="0.91713699999999998"/>
    <n v="36763200"/>
  </r>
  <r>
    <x v="1350"/>
    <n v="1.4583330000000001"/>
    <n v="1.4583330000000001"/>
    <n v="1.40625"/>
    <x v="502"/>
    <n v="0.88596399999999997"/>
    <n v="42734400"/>
  </r>
  <r>
    <x v="1351"/>
    <n v="1.3697919999999999"/>
    <n v="1.4114580000000001"/>
    <n v="1.3541669999999999"/>
    <x v="541"/>
    <n v="0.88924499999999995"/>
    <n v="40526400"/>
  </r>
  <r>
    <x v="1352"/>
    <n v="1.4166669999999999"/>
    <n v="1.4427080000000001"/>
    <n v="1.390625"/>
    <x v="522"/>
    <n v="0.87940099999999999"/>
    <n v="25656000"/>
  </r>
  <r>
    <x v="1353"/>
    <n v="1.40625"/>
    <n v="1.4166669999999999"/>
    <n v="1.375"/>
    <x v="541"/>
    <n v="0.88924499999999995"/>
    <n v="24441600"/>
  </r>
  <r>
    <x v="1354"/>
    <n v="1.390625"/>
    <n v="1.4322919999999999"/>
    <n v="1.3854169999999999"/>
    <x v="502"/>
    <n v="0.88596399999999997"/>
    <n v="35136000"/>
  </r>
  <r>
    <x v="1355"/>
    <n v="1.4166669999999999"/>
    <n v="1.421875"/>
    <n v="1.3854169999999999"/>
    <x v="500"/>
    <n v="0.87283900000000003"/>
    <n v="35596800"/>
  </r>
  <r>
    <x v="1356"/>
    <n v="1.3958330000000001"/>
    <n v="1.4010419999999999"/>
    <n v="1.3541669999999999"/>
    <x v="528"/>
    <n v="0.85971299999999995"/>
    <n v="54321600"/>
  </r>
  <r>
    <x v="1357"/>
    <n v="1.3958330000000001"/>
    <n v="1.4166669999999999"/>
    <n v="1.3723959999999999"/>
    <x v="525"/>
    <n v="0.86627600000000005"/>
    <n v="90211200"/>
  </r>
  <r>
    <x v="1358"/>
    <n v="1.3958330000000001"/>
    <n v="1.4947919999999999"/>
    <n v="1.390625"/>
    <x v="564"/>
    <n v="0.93190300000000004"/>
    <n v="149294400"/>
  </r>
  <r>
    <x v="1359"/>
    <n v="1.4791669999999999"/>
    <n v="1.484375"/>
    <n v="1.4322919999999999"/>
    <x v="565"/>
    <n v="0.92205899999999996"/>
    <n v="136468800"/>
  </r>
  <r>
    <x v="1360"/>
    <n v="1.46875"/>
    <n v="1.5208330000000001"/>
    <n v="1.453125"/>
    <x v="566"/>
    <n v="0.95487200000000005"/>
    <n v="78038400"/>
  </r>
  <r>
    <x v="1361"/>
    <n v="1.5208330000000001"/>
    <n v="1.5416669999999999"/>
    <n v="1.515625"/>
    <x v="537"/>
    <n v="0.96471700000000005"/>
    <n v="111628800"/>
  </r>
  <r>
    <x v="1362"/>
    <n v="1.5364580000000001"/>
    <n v="1.5416669999999999"/>
    <n v="1.5208330000000001"/>
    <x v="567"/>
    <n v="0.96143599999999996"/>
    <n v="53942400"/>
  </r>
  <r>
    <x v="1363"/>
    <n v="1.5364580000000001"/>
    <n v="1.5572919999999999"/>
    <n v="1.5260419999999999"/>
    <x v="567"/>
    <n v="0.96143599999999996"/>
    <n v="81369600"/>
  </r>
  <r>
    <x v="1364"/>
    <n v="1.5260419999999999"/>
    <n v="1.5260419999999999"/>
    <n v="1.4947919999999999"/>
    <x v="568"/>
    <n v="0.94830899999999996"/>
    <n v="28252800"/>
  </r>
  <r>
    <x v="1365"/>
    <n v="1.5052080000000001"/>
    <n v="1.5625"/>
    <n v="1.5052080000000001"/>
    <x v="569"/>
    <n v="0.97784199999999999"/>
    <n v="53097600"/>
  </r>
  <r>
    <x v="1366"/>
    <n v="1.5572919999999999"/>
    <n v="1.59375"/>
    <n v="1.5520830000000001"/>
    <x v="570"/>
    <n v="0.99753000000000003"/>
    <n v="69235200"/>
  </r>
  <r>
    <x v="1367"/>
    <n v="1.5833330000000001"/>
    <n v="1.6510419999999999"/>
    <n v="1.5833330000000001"/>
    <x v="571"/>
    <n v="1.0369060000000001"/>
    <n v="91852800"/>
  </r>
  <r>
    <x v="1368"/>
    <n v="1.640625"/>
    <n v="1.7083330000000001"/>
    <n v="1.6302080000000001"/>
    <x v="572"/>
    <n v="1.059876"/>
    <n v="114806400"/>
  </r>
  <r>
    <x v="1369"/>
    <n v="1.6614580000000001"/>
    <n v="1.7447919999999999"/>
    <n v="1.6614580000000001"/>
    <x v="573"/>
    <n v="1.0894079999999999"/>
    <n v="56899200"/>
  </r>
  <r>
    <x v="1370"/>
    <n v="1.7447919999999999"/>
    <n v="1.7447919999999999"/>
    <n v="1.7135419999999999"/>
    <x v="574"/>
    <n v="1.0828450000000001"/>
    <n v="94497600"/>
  </r>
  <r>
    <x v="1371"/>
    <n v="1.7239580000000001"/>
    <n v="1.7395830000000001"/>
    <n v="1.7083330000000001"/>
    <x v="574"/>
    <n v="1.0828450000000001"/>
    <n v="67008000"/>
  </r>
  <r>
    <x v="1372"/>
    <n v="1.71875"/>
    <n v="1.734375"/>
    <n v="1.6875"/>
    <x v="575"/>
    <n v="1.06972"/>
    <n v="45460800"/>
  </r>
  <r>
    <x v="1373"/>
    <n v="1.6822919999999999"/>
    <n v="1.7161459999999999"/>
    <n v="1.671875"/>
    <x v="576"/>
    <n v="1.0730010000000001"/>
    <n v="52075200"/>
  </r>
  <r>
    <x v="1374"/>
    <n v="1.6145830000000001"/>
    <n v="1.6927080000000001"/>
    <n v="1.6041669999999999"/>
    <x v="577"/>
    <n v="1.0533129999999999"/>
    <n v="85425600"/>
  </r>
  <r>
    <x v="1375"/>
    <n v="1.6796880000000001"/>
    <n v="1.7057290000000001"/>
    <n v="1.6666669999999999"/>
    <x v="578"/>
    <n v="1.056594"/>
    <n v="57326400"/>
  </r>
  <r>
    <x v="1376"/>
    <n v="1.7083330000000001"/>
    <n v="1.7604169999999999"/>
    <n v="1.703125"/>
    <x v="579"/>
    <n v="1.102533"/>
    <n v="73214400"/>
  </r>
  <r>
    <x v="1377"/>
    <n v="1.7552080000000001"/>
    <n v="1.7760419999999999"/>
    <n v="1.734375"/>
    <x v="579"/>
    <n v="1.102533"/>
    <n v="43627200"/>
  </r>
  <r>
    <x v="1378"/>
    <n v="1.75"/>
    <n v="1.8020830000000001"/>
    <n v="1.75"/>
    <x v="580"/>
    <n v="1.1189389999999999"/>
    <n v="43161600"/>
  </r>
  <r>
    <x v="1379"/>
    <n v="1.765625"/>
    <n v="1.7760419999999999"/>
    <n v="1.7395830000000001"/>
    <x v="580"/>
    <n v="1.1189389999999999"/>
    <n v="44136000"/>
  </r>
  <r>
    <x v="1380"/>
    <n v="1.765625"/>
    <n v="1.7708330000000001"/>
    <n v="1.75"/>
    <x v="581"/>
    <n v="1.1123769999999999"/>
    <n v="34204800"/>
  </r>
  <r>
    <x v="1381"/>
    <n v="1.765625"/>
    <n v="1.8072919999999999"/>
    <n v="1.7604169999999999"/>
    <x v="582"/>
    <n v="1.1238619999999999"/>
    <n v="41558400"/>
  </r>
  <r>
    <x v="1382"/>
    <n v="1.7916669999999999"/>
    <n v="1.8020830000000001"/>
    <n v="1.7708330000000001"/>
    <x v="583"/>
    <n v="1.125502"/>
    <n v="27974400"/>
  </r>
  <r>
    <x v="1383"/>
    <n v="1.7864580000000001"/>
    <n v="1.796875"/>
    <n v="1.7604169999999999"/>
    <x v="580"/>
    <n v="1.1189389999999999"/>
    <n v="22032000"/>
  </r>
  <r>
    <x v="1384"/>
    <n v="1.7708330000000001"/>
    <n v="1.7708330000000001"/>
    <n v="1.71875"/>
    <x v="584"/>
    <n v="1.0910489999999999"/>
    <n v="33494400"/>
  </r>
  <r>
    <x v="1385"/>
    <n v="1.734375"/>
    <n v="1.7395830000000001"/>
    <n v="1.6875"/>
    <x v="585"/>
    <n v="1.0844849999999999"/>
    <n v="38467200"/>
  </r>
  <r>
    <x v="1386"/>
    <n v="1.7291669999999999"/>
    <n v="1.7291669999999999"/>
    <n v="1.6666669999999999"/>
    <x v="578"/>
    <n v="1.056594"/>
    <n v="58459200"/>
  </r>
  <r>
    <x v="1387"/>
    <n v="1.6875"/>
    <n v="1.7135419999999999"/>
    <n v="1.671875"/>
    <x v="572"/>
    <n v="1.059876"/>
    <n v="50788800"/>
  </r>
  <r>
    <x v="1388"/>
    <n v="1.6822919999999999"/>
    <n v="1.6979169999999999"/>
    <n v="1.671875"/>
    <x v="572"/>
    <n v="1.059876"/>
    <n v="31915200"/>
  </r>
  <r>
    <x v="1389"/>
    <n v="1.7083330000000001"/>
    <n v="1.71875"/>
    <n v="1.6666669999999999"/>
    <x v="586"/>
    <n v="1.0500320000000001"/>
    <n v="65937600"/>
  </r>
  <r>
    <x v="1390"/>
    <n v="1.6770830000000001"/>
    <n v="1.7135419999999999"/>
    <n v="1.6770830000000001"/>
    <x v="587"/>
    <n v="1.076282"/>
    <n v="64032000"/>
  </r>
  <r>
    <x v="1391"/>
    <n v="1.7291669999999999"/>
    <n v="1.7864580000000001"/>
    <n v="1.7291669999999999"/>
    <x v="582"/>
    <n v="1.1238619999999999"/>
    <n v="53808000"/>
  </r>
  <r>
    <x v="1392"/>
    <n v="1.78125"/>
    <n v="1.7864580000000001"/>
    <n v="1.71875"/>
    <x v="573"/>
    <n v="1.0894079999999999"/>
    <n v="51360000"/>
  </r>
  <r>
    <x v="1393"/>
    <n v="1.7291669999999999"/>
    <n v="1.7395830000000001"/>
    <n v="1.7135419999999999"/>
    <x v="573"/>
    <n v="1.0894079999999999"/>
    <n v="21686400"/>
  </r>
  <r>
    <x v="1394"/>
    <n v="1.7239580000000001"/>
    <n v="1.765625"/>
    <n v="1.7083330000000001"/>
    <x v="588"/>
    <n v="1.1090960000000001"/>
    <n v="23366400"/>
  </r>
  <r>
    <x v="1395"/>
    <n v="1.75"/>
    <n v="1.78125"/>
    <n v="1.7447919999999999"/>
    <x v="581"/>
    <n v="1.1123769999999999"/>
    <n v="26942400"/>
  </r>
  <r>
    <x v="1396"/>
    <n v="1.7708330000000001"/>
    <n v="1.8177080000000001"/>
    <n v="1.765625"/>
    <x v="589"/>
    <n v="1.1320650000000001"/>
    <n v="51364800"/>
  </r>
  <r>
    <x v="1397"/>
    <n v="1.8072919999999999"/>
    <n v="1.8125"/>
    <n v="1.7916669999999999"/>
    <x v="590"/>
    <n v="1.1353470000000001"/>
    <n v="30316800"/>
  </r>
  <r>
    <x v="1398"/>
    <n v="1.796875"/>
    <n v="1.8020830000000001"/>
    <n v="1.7604169999999999"/>
    <x v="591"/>
    <n v="1.114018"/>
    <n v="49771200"/>
  </r>
  <r>
    <x v="1399"/>
    <n v="1.7760419999999999"/>
    <n v="1.8385419999999999"/>
    <n v="1.7760419999999999"/>
    <x v="592"/>
    <n v="1.155035"/>
    <n v="47625600"/>
  </r>
  <r>
    <x v="1400"/>
    <n v="1.8333330000000001"/>
    <n v="1.8411459999999999"/>
    <n v="1.8020830000000001"/>
    <x v="593"/>
    <n v="1.151753"/>
    <n v="25766400"/>
  </r>
  <r>
    <x v="1401"/>
    <n v="1.8229169999999999"/>
    <n v="1.875"/>
    <n v="1.8177080000000001"/>
    <x v="594"/>
    <n v="1.171441"/>
    <n v="48000000"/>
  </r>
  <r>
    <x v="1402"/>
    <n v="1.8645830000000001"/>
    <n v="1.8645830000000001"/>
    <n v="1.828125"/>
    <x v="595"/>
    <n v="1.1583159999999999"/>
    <n v="33273600"/>
  </r>
  <r>
    <x v="1403"/>
    <n v="1.8385419999999999"/>
    <n v="1.8645830000000001"/>
    <n v="1.8125"/>
    <x v="596"/>
    <n v="1.1681600000000001"/>
    <n v="27700800"/>
  </r>
  <r>
    <x v="1404"/>
    <n v="1.8541669999999999"/>
    <n v="1.859375"/>
    <n v="1.8333330000000001"/>
    <x v="597"/>
    <n v="1.16652"/>
    <n v="19627200"/>
  </r>
  <r>
    <x v="1405"/>
    <n v="1.84375"/>
    <n v="1.8854169999999999"/>
    <n v="1.796875"/>
    <x v="598"/>
    <n v="1.1419090000000001"/>
    <n v="67219200"/>
  </r>
  <r>
    <x v="1406"/>
    <n v="1.8020830000000001"/>
    <n v="1.8385419999999999"/>
    <n v="1.796875"/>
    <x v="599"/>
    <n v="1.1484719999999999"/>
    <n v="34632000"/>
  </r>
  <r>
    <x v="1407"/>
    <n v="1.8333330000000001"/>
    <n v="1.8541669999999999"/>
    <n v="1.8229169999999999"/>
    <x v="600"/>
    <n v="1.156676"/>
    <n v="26457600"/>
  </r>
  <r>
    <x v="1408"/>
    <n v="1.8177080000000001"/>
    <n v="1.8515630000000001"/>
    <n v="1.8072919999999999"/>
    <x v="601"/>
    <n v="1.161597"/>
    <n v="27187200"/>
  </r>
  <r>
    <x v="1409"/>
    <n v="1.8333330000000001"/>
    <n v="1.8645830000000001"/>
    <n v="1.8333330000000001"/>
    <x v="594"/>
    <n v="1.171441"/>
    <n v="37708800"/>
  </r>
  <r>
    <x v="1410"/>
    <n v="1.8645830000000001"/>
    <n v="1.9010419999999999"/>
    <n v="1.859375"/>
    <x v="602"/>
    <n v="1.174723"/>
    <n v="60931200"/>
  </r>
  <r>
    <x v="1411"/>
    <n v="1.8854169999999999"/>
    <n v="1.8854169999999999"/>
    <n v="1.84375"/>
    <x v="603"/>
    <n v="1.1780040000000001"/>
    <n v="42048000"/>
  </r>
  <r>
    <x v="1412"/>
    <n v="1.890625"/>
    <n v="1.8958330000000001"/>
    <n v="1.828125"/>
    <x v="604"/>
    <n v="1.176364"/>
    <n v="69921600"/>
  </r>
  <r>
    <x v="1413"/>
    <n v="1.875"/>
    <n v="1.921875"/>
    <n v="1.875"/>
    <x v="605"/>
    <n v="1.2108179999999999"/>
    <n v="50625600"/>
  </r>
  <r>
    <x v="1414"/>
    <n v="1.921875"/>
    <n v="1.921875"/>
    <n v="1.890625"/>
    <x v="606"/>
    <n v="1.199333"/>
    <n v="57854400"/>
  </r>
  <r>
    <x v="1415"/>
    <n v="1.90625"/>
    <n v="1.90625"/>
    <n v="1.8723959999999999"/>
    <x v="607"/>
    <n v="1.19113"/>
    <n v="100200000"/>
  </r>
  <r>
    <x v="1416"/>
    <n v="1.890625"/>
    <n v="1.890625"/>
    <n v="1.84375"/>
    <x v="594"/>
    <n v="1.171441"/>
    <n v="95563200"/>
  </r>
  <r>
    <x v="1417"/>
    <n v="1.875"/>
    <n v="1.9010419999999999"/>
    <n v="1.8697919999999999"/>
    <x v="608"/>
    <n v="1.1812860000000001"/>
    <n v="37843200"/>
  </r>
  <r>
    <x v="1418"/>
    <n v="1.875"/>
    <n v="1.90625"/>
    <n v="1.8697919999999999"/>
    <x v="609"/>
    <n v="1.1944109999999999"/>
    <n v="28704000"/>
  </r>
  <r>
    <x v="1419"/>
    <n v="1.90625"/>
    <n v="1.9322919999999999"/>
    <n v="1.9010419999999999"/>
    <x v="606"/>
    <n v="1.199333"/>
    <n v="32496000"/>
  </r>
  <r>
    <x v="1420"/>
    <n v="1.9114580000000001"/>
    <n v="1.9166669999999999"/>
    <n v="1.8697919999999999"/>
    <x v="610"/>
    <n v="1.184566"/>
    <n v="36724800"/>
  </r>
  <r>
    <x v="1421"/>
    <n v="1.8854169999999999"/>
    <n v="1.8854169999999999"/>
    <n v="1.859375"/>
    <x v="610"/>
    <n v="1.184566"/>
    <n v="26942400"/>
  </r>
  <r>
    <x v="1422"/>
    <n v="1.8802080000000001"/>
    <n v="1.890625"/>
    <n v="1.859375"/>
    <x v="602"/>
    <n v="1.174723"/>
    <n v="28080000"/>
  </r>
  <r>
    <x v="1423"/>
    <n v="1.8645830000000001"/>
    <n v="1.8802080000000001"/>
    <n v="1.828125"/>
    <x v="610"/>
    <n v="1.184566"/>
    <n v="37953600"/>
  </r>
  <r>
    <x v="1424"/>
    <n v="1.8802080000000001"/>
    <n v="1.890625"/>
    <n v="1.8697919999999999"/>
    <x v="607"/>
    <n v="1.19113"/>
    <n v="36523200"/>
  </r>
  <r>
    <x v="1425"/>
    <n v="1.890625"/>
    <n v="1.9739580000000001"/>
    <n v="1.890625"/>
    <x v="611"/>
    <n v="1.2403500000000001"/>
    <n v="65592000"/>
  </r>
  <r>
    <x v="1426"/>
    <n v="1.96875"/>
    <n v="1.984375"/>
    <n v="1.9427080000000001"/>
    <x v="612"/>
    <n v="1.232146"/>
    <n v="41092800"/>
  </r>
  <r>
    <x v="1427"/>
    <n v="1.9479169999999999"/>
    <n v="1.953125"/>
    <n v="1.9166669999999999"/>
    <x v="613"/>
    <n v="1.21574"/>
    <n v="34296000"/>
  </r>
  <r>
    <x v="1428"/>
    <n v="1.921875"/>
    <n v="1.9270830000000001"/>
    <n v="1.890625"/>
    <x v="609"/>
    <n v="1.1944109999999999"/>
    <n v="28838400"/>
  </r>
  <r>
    <x v="1429"/>
    <n v="1.9010419999999999"/>
    <n v="1.96875"/>
    <n v="1.8958330000000001"/>
    <x v="614"/>
    <n v="1.230505"/>
    <n v="51739200"/>
  </r>
  <r>
    <x v="1430"/>
    <n v="1.9583330000000001"/>
    <n v="1.9895830000000001"/>
    <n v="1.9427080000000001"/>
    <x v="615"/>
    <n v="1.2501930000000001"/>
    <n v="38308800"/>
  </r>
  <r>
    <x v="1431"/>
    <n v="1.9895830000000001"/>
    <n v="1.9947919999999999"/>
    <n v="1.96875"/>
    <x v="616"/>
    <n v="1.2436309999999999"/>
    <n v="20894400"/>
  </r>
  <r>
    <x v="1432"/>
    <n v="1.9791669999999999"/>
    <n v="2.015625"/>
    <n v="1.9791669999999999"/>
    <x v="615"/>
    <n v="1.2501930000000001"/>
    <n v="36494400"/>
  </r>
  <r>
    <x v="1433"/>
    <n v="2"/>
    <n v="2.0416669999999999"/>
    <n v="1.9921880000000001"/>
    <x v="617"/>
    <n v="1.2797259999999999"/>
    <n v="40564800"/>
  </r>
  <r>
    <x v="1434"/>
    <n v="2.046875"/>
    <n v="2.0989580000000001"/>
    <n v="2.0416669999999999"/>
    <x v="618"/>
    <n v="1.3108979999999999"/>
    <n v="80035200"/>
  </r>
  <r>
    <x v="1435"/>
    <n v="2.0729169999999999"/>
    <n v="2.1197919999999999"/>
    <n v="2.0572919999999999"/>
    <x v="619"/>
    <n v="1.3256650000000001"/>
    <n v="57523200"/>
  </r>
  <r>
    <x v="1436"/>
    <n v="2.1145830000000001"/>
    <n v="2.1145830000000001"/>
    <n v="2.0572919999999999"/>
    <x v="620"/>
    <n v="1.3026949999999999"/>
    <n v="44371200"/>
  </r>
  <r>
    <x v="1437"/>
    <n v="2.0625"/>
    <n v="2.09375"/>
    <n v="1.9739580000000001"/>
    <x v="621"/>
    <n v="1.246912"/>
    <n v="71592000"/>
  </r>
  <r>
    <x v="1438"/>
    <n v="1.984375"/>
    <n v="2.0364580000000001"/>
    <n v="1.9791669999999999"/>
    <x v="622"/>
    <n v="1.2764450000000001"/>
    <n v="72432000"/>
  </r>
  <r>
    <x v="1439"/>
    <n v="2.0052080000000001"/>
    <n v="2.0286460000000002"/>
    <n v="1.9635419999999999"/>
    <x v="623"/>
    <n v="1.2633190000000001"/>
    <n v="71976000"/>
  </r>
  <r>
    <x v="1440"/>
    <n v="2.0208330000000001"/>
    <n v="2.03125"/>
    <n v="2"/>
    <x v="624"/>
    <n v="1.2665999999999999"/>
    <n v="36441600"/>
  </r>
  <r>
    <x v="1441"/>
    <n v="2.0052080000000001"/>
    <n v="2.0260419999999999"/>
    <n v="1.9947919999999999"/>
    <x v="622"/>
    <n v="1.2764450000000001"/>
    <n v="35558400"/>
  </r>
  <r>
    <x v="1442"/>
    <n v="2.0208330000000001"/>
    <n v="2.03125"/>
    <n v="1.984375"/>
    <x v="625"/>
    <n v="1.260038"/>
    <n v="38102400"/>
  </r>
  <r>
    <x v="1443"/>
    <n v="1.9947919999999999"/>
    <n v="2.0208330000000001"/>
    <n v="1.984375"/>
    <x v="626"/>
    <n v="1.2551159999999999"/>
    <n v="33724800"/>
  </r>
  <r>
    <x v="1444"/>
    <n v="2.0026039999999998"/>
    <n v="2.0052080000000001"/>
    <n v="1.9322919999999999"/>
    <x v="611"/>
    <n v="1.2403500000000001"/>
    <n v="58809600"/>
  </r>
  <r>
    <x v="1445"/>
    <n v="1.9635419999999999"/>
    <n v="1.9895830000000001"/>
    <n v="1.9583330000000001"/>
    <x v="615"/>
    <n v="1.2501930000000001"/>
    <n v="15009600"/>
  </r>
  <r>
    <x v="1446"/>
    <n v="1.9739580000000001"/>
    <n v="2.0364580000000001"/>
    <n v="1.9739580000000001"/>
    <x v="622"/>
    <n v="1.2764450000000001"/>
    <n v="20524800"/>
  </r>
  <r>
    <x v="1447"/>
    <n v="2.0052080000000001"/>
    <n v="2.1145830000000001"/>
    <n v="2"/>
    <x v="627"/>
    <n v="1.328946"/>
    <n v="55852800"/>
  </r>
  <r>
    <x v="1448"/>
    <n v="2.1041669999999999"/>
    <n v="2.140625"/>
    <n v="2.0729169999999999"/>
    <x v="628"/>
    <n v="1.330587"/>
    <n v="64996800"/>
  </r>
  <r>
    <x v="1449"/>
    <n v="2.1197919999999999"/>
    <n v="2.1458330000000001"/>
    <n v="2.0833330000000001"/>
    <x v="629"/>
    <n v="1.3387899999999999"/>
    <n v="36297600"/>
  </r>
  <r>
    <x v="1450"/>
    <n v="2.1197919999999999"/>
    <n v="2.1302080000000001"/>
    <n v="2.0989580000000001"/>
    <x v="630"/>
    <n v="1.3355090000000001"/>
    <n v="24892800"/>
  </r>
  <r>
    <x v="1451"/>
    <n v="2.1145830000000001"/>
    <n v="2.1927080000000001"/>
    <n v="2.1041669999999999"/>
    <x v="631"/>
    <n v="1.368323"/>
    <n v="51580800"/>
  </r>
  <r>
    <x v="1452"/>
    <n v="2.1510419999999999"/>
    <n v="2.1614580000000001"/>
    <n v="2.109375"/>
    <x v="629"/>
    <n v="1.3387899999999999"/>
    <n v="57720000"/>
  </r>
  <r>
    <x v="1453"/>
    <n v="2.125"/>
    <n v="2.125"/>
    <n v="2.0833330000000001"/>
    <x v="630"/>
    <n v="1.3355090000000001"/>
    <n v="46252800"/>
  </r>
  <r>
    <x v="1454"/>
    <n v="2.1276039999999998"/>
    <n v="2.140625"/>
    <n v="2.0729169999999999"/>
    <x v="632"/>
    <n v="1.3223830000000001"/>
    <n v="39134400"/>
  </r>
  <r>
    <x v="1455"/>
    <n v="2.1041669999999999"/>
    <n v="2.1510419999999999"/>
    <n v="2.09375"/>
    <x v="629"/>
    <n v="1.3387899999999999"/>
    <n v="36979200"/>
  </r>
  <r>
    <x v="1456"/>
    <n v="2.1302080000000001"/>
    <n v="2.140625"/>
    <n v="2.1145830000000001"/>
    <x v="629"/>
    <n v="1.3387899999999999"/>
    <n v="26193600"/>
  </r>
  <r>
    <x v="1457"/>
    <n v="2.125"/>
    <n v="2.1302080000000001"/>
    <n v="2.0989580000000001"/>
    <x v="633"/>
    <n v="1.3404309999999999"/>
    <n v="27225600"/>
  </r>
  <r>
    <x v="1458"/>
    <n v="2.125"/>
    <n v="2.15625"/>
    <n v="2.0885419999999999"/>
    <x v="634"/>
    <n v="1.3371500000000001"/>
    <n v="27480000"/>
  </r>
  <r>
    <x v="1459"/>
    <n v="2.125"/>
    <n v="2.1510419999999999"/>
    <n v="2.109375"/>
    <x v="635"/>
    <n v="1.3502749999999999"/>
    <n v="33561600"/>
  </r>
  <r>
    <x v="1460"/>
    <n v="2.1328130000000001"/>
    <n v="2.1510419999999999"/>
    <n v="2.109375"/>
    <x v="636"/>
    <n v="1.3486340000000001"/>
    <n v="38116800"/>
  </r>
  <r>
    <x v="1461"/>
    <n v="2.1666669999999999"/>
    <n v="2.1875"/>
    <n v="2.1302080000000001"/>
    <x v="637"/>
    <n v="1.355197"/>
    <n v="35356800"/>
  </r>
  <r>
    <x v="1462"/>
    <n v="2.1510419999999999"/>
    <n v="2.2239580000000001"/>
    <n v="2.1354169999999999"/>
    <x v="638"/>
    <n v="1.4011359999999999"/>
    <n v="46113600"/>
  </r>
  <r>
    <x v="1463"/>
    <n v="2.2239580000000001"/>
    <n v="2.2395830000000001"/>
    <n v="2.2083330000000001"/>
    <x v="639"/>
    <n v="1.3945730000000001"/>
    <n v="23995200"/>
  </r>
  <r>
    <x v="1464"/>
    <n v="2.2135419999999999"/>
    <n v="2.2552080000000001"/>
    <n v="2.203125"/>
    <x v="640"/>
    <n v="1.415902"/>
    <n v="24326400"/>
  </r>
  <r>
    <x v="1465"/>
    <n v="2.2552080000000001"/>
    <n v="2.3229169999999999"/>
    <n v="2.2447919999999999"/>
    <x v="641"/>
    <n v="1.448715"/>
    <n v="36657600"/>
  </r>
  <r>
    <x v="1466"/>
    <n v="2.3020830000000001"/>
    <n v="2.3177080000000001"/>
    <n v="2.28125"/>
    <x v="642"/>
    <n v="1.453638"/>
    <n v="35524800"/>
  </r>
  <r>
    <x v="1467"/>
    <n v="2.3072919999999999"/>
    <n v="2.3333330000000001"/>
    <n v="2.265625"/>
    <x v="643"/>
    <n v="1.4601999999999999"/>
    <n v="40512000"/>
  </r>
  <r>
    <x v="1468"/>
    <n v="2.3072919999999999"/>
    <n v="2.390625"/>
    <n v="2.28125"/>
    <x v="644"/>
    <n v="1.4962949999999999"/>
    <n v="74265600"/>
  </r>
  <r>
    <x v="1469"/>
    <n v="2.375"/>
    <n v="2.3802080000000001"/>
    <n v="2.328125"/>
    <x v="645"/>
    <n v="1.4831700000000001"/>
    <n v="38246400"/>
  </r>
  <r>
    <x v="1470"/>
    <n v="2.359375"/>
    <n v="2.453125"/>
    <n v="2.3411460000000002"/>
    <x v="646"/>
    <n v="1.5291090000000001"/>
    <n v="63057600"/>
  </r>
  <r>
    <x v="1471"/>
    <n v="2.4270830000000001"/>
    <n v="2.5052080000000001"/>
    <n v="2.4114580000000001"/>
    <x v="647"/>
    <n v="1.5750470000000001"/>
    <n v="64363200"/>
  </r>
  <r>
    <x v="1472"/>
    <n v="2.4791669999999999"/>
    <n v="2.6197919999999999"/>
    <n v="2.4739580000000001"/>
    <x v="648"/>
    <n v="1.6308309999999999"/>
    <n v="90763200"/>
  </r>
  <r>
    <x v="1473"/>
    <n v="2.5885419999999999"/>
    <n v="2.6875"/>
    <n v="2.5833330000000001"/>
    <x v="649"/>
    <n v="1.670207"/>
    <n v="88348800"/>
  </r>
  <r>
    <x v="1474"/>
    <n v="2.6458330000000001"/>
    <n v="2.6614580000000001"/>
    <n v="2.5833330000000001"/>
    <x v="650"/>
    <n v="1.6439550000000001"/>
    <n v="64641600"/>
  </r>
  <r>
    <x v="1475"/>
    <n v="2.5833330000000001"/>
    <n v="2.6848960000000002"/>
    <n v="2.5572919999999999"/>
    <x v="651"/>
    <n v="1.668566"/>
    <n v="52804800"/>
  </r>
  <r>
    <x v="1476"/>
    <n v="2.65625"/>
    <n v="2.6770830000000001"/>
    <n v="2.625"/>
    <x v="652"/>
    <n v="1.6833320000000001"/>
    <n v="44006400"/>
  </r>
  <r>
    <x v="1477"/>
    <n v="2.6822919999999999"/>
    <n v="2.7760419999999999"/>
    <n v="2.671875"/>
    <x v="653"/>
    <n v="1.725989"/>
    <n v="65294400"/>
  </r>
  <r>
    <x v="1478"/>
    <n v="2.734375"/>
    <n v="2.75"/>
    <n v="2.65625"/>
    <x v="654"/>
    <n v="1.676769"/>
    <n v="58761600"/>
  </r>
  <r>
    <x v="1479"/>
    <n v="2.6614580000000001"/>
    <n v="2.6979169999999999"/>
    <n v="2.578125"/>
    <x v="655"/>
    <n v="1.6603619999999999"/>
    <n v="85027200"/>
  </r>
  <r>
    <x v="1480"/>
    <n v="2.6510419999999999"/>
    <n v="2.6510419999999999"/>
    <n v="2.5520830000000001"/>
    <x v="656"/>
    <n v="1.6078600000000001"/>
    <n v="58862400"/>
  </r>
  <r>
    <x v="1481"/>
    <n v="2.546875"/>
    <n v="2.5625"/>
    <n v="2.4166669999999999"/>
    <x v="657"/>
    <n v="1.5668439999999999"/>
    <n v="120019200"/>
  </r>
  <r>
    <x v="1482"/>
    <n v="2.5"/>
    <n v="2.6145830000000001"/>
    <n v="2.4791669999999999"/>
    <x v="658"/>
    <n v="1.6472370000000001"/>
    <n v="56131200"/>
  </r>
  <r>
    <x v="1483"/>
    <n v="2.6145830000000001"/>
    <n v="2.6953130000000001"/>
    <n v="2.578125"/>
    <x v="659"/>
    <n v="1.640674"/>
    <n v="75590400"/>
  </r>
  <r>
    <x v="1484"/>
    <n v="2.59375"/>
    <n v="2.6145830000000001"/>
    <n v="2.5833330000000001"/>
    <x v="660"/>
    <n v="1.6357520000000001"/>
    <n v="37756800"/>
  </r>
  <r>
    <x v="1485"/>
    <n v="2.5989580000000001"/>
    <n v="2.6145830000000001"/>
    <n v="2.5104169999999999"/>
    <x v="661"/>
    <n v="1.583251"/>
    <n v="46233600"/>
  </r>
  <r>
    <x v="1486"/>
    <n v="2.5208330000000001"/>
    <n v="2.5364580000000001"/>
    <n v="2.4166669999999999"/>
    <x v="662"/>
    <n v="1.584891"/>
    <n v="95539200"/>
  </r>
  <r>
    <x v="1487"/>
    <n v="2.5520830000000001"/>
    <n v="2.6197919999999999"/>
    <n v="2.5364580000000001"/>
    <x v="663"/>
    <n v="1.6341110000000001"/>
    <n v="97344000"/>
  </r>
  <r>
    <x v="1488"/>
    <n v="2.59375"/>
    <n v="2.5989580000000001"/>
    <n v="2.53125"/>
    <x v="664"/>
    <n v="1.620987"/>
    <n v="41923200"/>
  </r>
  <r>
    <x v="1489"/>
    <n v="2.5729169999999999"/>
    <n v="2.578125"/>
    <n v="2.4947919999999999"/>
    <x v="665"/>
    <n v="1.5783290000000001"/>
    <n v="49948800"/>
  </r>
  <r>
    <x v="1490"/>
    <n v="2.4635419999999999"/>
    <n v="2.6145830000000001"/>
    <n v="2.4479169999999999"/>
    <x v="659"/>
    <n v="1.640674"/>
    <n v="80265600"/>
  </r>
  <r>
    <x v="1491"/>
    <n v="2.609375"/>
    <n v="2.625"/>
    <n v="2.5520830000000001"/>
    <x v="663"/>
    <n v="1.6341110000000001"/>
    <n v="58440000"/>
  </r>
  <r>
    <x v="1492"/>
    <n v="2.5989580000000001"/>
    <n v="2.6770830000000001"/>
    <n v="2.5729169999999999"/>
    <x v="649"/>
    <n v="1.670207"/>
    <n v="71212800"/>
  </r>
  <r>
    <x v="1493"/>
    <n v="2.6354169999999999"/>
    <n v="2.6875"/>
    <n v="2.6197919999999999"/>
    <x v="666"/>
    <n v="1.6570800000000001"/>
    <n v="62356800"/>
  </r>
  <r>
    <x v="1494"/>
    <n v="2.6302080000000001"/>
    <n v="2.65625"/>
    <n v="2.5833330000000001"/>
    <x v="667"/>
    <n v="1.6505190000000001"/>
    <n v="36499200"/>
  </r>
  <r>
    <x v="1495"/>
    <n v="2.6171880000000001"/>
    <n v="2.625"/>
    <n v="2.5416669999999999"/>
    <x v="663"/>
    <n v="1.6341110000000001"/>
    <n v="41371200"/>
  </r>
  <r>
    <x v="1496"/>
    <n v="2.5885419999999999"/>
    <n v="2.5989580000000001"/>
    <n v="2.53125"/>
    <x v="656"/>
    <n v="1.6078600000000001"/>
    <n v="41078400"/>
  </r>
  <r>
    <x v="1497"/>
    <n v="2.4713539999999998"/>
    <n v="2.640625"/>
    <n v="2.4713539999999998"/>
    <x v="667"/>
    <n v="1.6505190000000001"/>
    <n v="83342400"/>
  </r>
  <r>
    <x v="1498"/>
    <n v="2.6145830000000001"/>
    <n v="2.6354169999999999"/>
    <n v="2.53125"/>
    <x v="656"/>
    <n v="1.6078600000000001"/>
    <n v="97358400"/>
  </r>
  <r>
    <x v="1499"/>
    <n v="2.546875"/>
    <n v="2.5520830000000001"/>
    <n v="2.4583330000000001"/>
    <x v="668"/>
    <n v="1.5553589999999999"/>
    <n v="82632000"/>
  </r>
  <r>
    <x v="1500"/>
    <n v="2.484375"/>
    <n v="2.546875"/>
    <n v="2.4583330000000001"/>
    <x v="669"/>
    <n v="1.5520780000000001"/>
    <n v="73694400"/>
  </r>
  <r>
    <x v="1501"/>
    <n v="2.4583330000000001"/>
    <n v="2.4583330000000001"/>
    <n v="2.3645830000000001"/>
    <x v="670"/>
    <n v="1.511061"/>
    <n v="145372800"/>
  </r>
  <r>
    <x v="1502"/>
    <n v="2.4166669999999999"/>
    <n v="2.484375"/>
    <n v="2.4114580000000001"/>
    <x v="671"/>
    <n v="1.5422340000000001"/>
    <n v="74323200"/>
  </r>
  <r>
    <x v="1503"/>
    <n v="2.4375"/>
    <n v="2.46875"/>
    <n v="2.3697919999999999"/>
    <x v="672"/>
    <n v="1.502858"/>
    <n v="91118400"/>
  </r>
  <r>
    <x v="1504"/>
    <n v="2.3854169999999999"/>
    <n v="2.4270830000000001"/>
    <n v="2.3541669999999999"/>
    <x v="673"/>
    <n v="1.507779"/>
    <n v="59049600"/>
  </r>
  <r>
    <x v="1505"/>
    <n v="2.3958330000000001"/>
    <n v="2.4270830000000001"/>
    <n v="2.359375"/>
    <x v="674"/>
    <n v="1.5192639999999999"/>
    <n v="57388800"/>
  </r>
  <r>
    <x v="1506"/>
    <n v="2.4166669999999999"/>
    <n v="2.5416669999999999"/>
    <n v="2.4166669999999999"/>
    <x v="675"/>
    <n v="1.6012980000000001"/>
    <n v="100670400"/>
  </r>
  <r>
    <x v="1507"/>
    <n v="2.5572919999999999"/>
    <n v="2.609375"/>
    <n v="2.5572919999999999"/>
    <x v="676"/>
    <n v="1.6390340000000001"/>
    <n v="79579200"/>
  </r>
  <r>
    <x v="1508"/>
    <n v="2.6041669999999999"/>
    <n v="2.6354169999999999"/>
    <n v="2.546875"/>
    <x v="664"/>
    <n v="1.620987"/>
    <n v="58276800"/>
  </r>
  <r>
    <x v="1509"/>
    <n v="2.578125"/>
    <n v="2.6197919999999999"/>
    <n v="2.5364580000000001"/>
    <x v="677"/>
    <n v="1.6144240000000001"/>
    <n v="34876800"/>
  </r>
  <r>
    <x v="1510"/>
    <n v="2.5729169999999999"/>
    <n v="2.609375"/>
    <n v="2.5520830000000001"/>
    <x v="678"/>
    <n v="1.6177049999999999"/>
    <n v="27734400"/>
  </r>
  <r>
    <x v="1511"/>
    <n v="2.5677080000000001"/>
    <n v="2.5885419999999999"/>
    <n v="2.5364580000000001"/>
    <x v="656"/>
    <n v="1.6078600000000001"/>
    <n v="33086400"/>
  </r>
  <r>
    <x v="1512"/>
    <n v="2.5520830000000001"/>
    <n v="2.5677080000000001"/>
    <n v="2.484375"/>
    <x v="679"/>
    <n v="1.5914539999999999"/>
    <n v="55689600"/>
  </r>
  <r>
    <x v="1513"/>
    <n v="2.515625"/>
    <n v="2.5416669999999999"/>
    <n v="2.4322919999999999"/>
    <x v="669"/>
    <n v="1.5520780000000001"/>
    <n v="61867200"/>
  </r>
  <r>
    <x v="1514"/>
    <n v="2.4739580000000001"/>
    <n v="2.5104169999999999"/>
    <n v="2.4635419999999999"/>
    <x v="680"/>
    <n v="1.561922"/>
    <n v="30427200"/>
  </r>
  <r>
    <x v="1515"/>
    <n v="2.4895830000000001"/>
    <n v="2.5572919999999999"/>
    <n v="2.484375"/>
    <x v="681"/>
    <n v="1.598017"/>
    <n v="45480000"/>
  </r>
  <r>
    <x v="1516"/>
    <n v="2.546875"/>
    <n v="2.5677080000000001"/>
    <n v="2.484375"/>
    <x v="665"/>
    <n v="1.5783290000000001"/>
    <n v="39532800"/>
  </r>
  <r>
    <x v="1517"/>
    <n v="2.5052080000000001"/>
    <n v="2.53125"/>
    <n v="2.46875"/>
    <x v="682"/>
    <n v="1.5898129999999999"/>
    <n v="50025600"/>
  </r>
  <r>
    <x v="1518"/>
    <n v="2.5520830000000001"/>
    <n v="2.5625"/>
    <n v="2.5104169999999999"/>
    <x v="683"/>
    <n v="1.5881719999999999"/>
    <n v="36763200"/>
  </r>
  <r>
    <x v="1519"/>
    <n v="2.5208330000000001"/>
    <n v="2.5885419999999999"/>
    <n v="2.5104169999999999"/>
    <x v="648"/>
    <n v="1.6308309999999999"/>
    <n v="55132800"/>
  </r>
  <r>
    <x v="1520"/>
    <n v="2.6119789999999998"/>
    <n v="2.6822919999999999"/>
    <n v="2.5989580000000001"/>
    <x v="684"/>
    <n v="1.680051"/>
    <n v="94473600"/>
  </r>
  <r>
    <x v="1521"/>
    <n v="2.6770830000000001"/>
    <n v="2.6875"/>
    <n v="2.625"/>
    <x v="685"/>
    <n v="1.6587229999999999"/>
    <n v="69230400"/>
  </r>
  <r>
    <x v="1522"/>
    <n v="2.6458330000000001"/>
    <n v="2.7135419999999999"/>
    <n v="2.6302080000000001"/>
    <x v="686"/>
    <n v="1.6734880000000001"/>
    <n v="111576000"/>
  </r>
  <r>
    <x v="1523"/>
    <n v="2.65625"/>
    <n v="2.6875"/>
    <n v="2.65625"/>
    <x v="687"/>
    <n v="1.6866129999999999"/>
    <n v="35774400"/>
  </r>
  <r>
    <x v="1524"/>
    <n v="2.6770830000000001"/>
    <n v="2.6927080000000001"/>
    <n v="2.6614580000000001"/>
    <x v="687"/>
    <n v="1.6866129999999999"/>
    <n v="37843200"/>
  </r>
  <r>
    <x v="1525"/>
    <n v="2.6875"/>
    <n v="2.7057289999999998"/>
    <n v="2.6354169999999999"/>
    <x v="686"/>
    <n v="1.6734880000000001"/>
    <n v="70228800"/>
  </r>
  <r>
    <x v="1526"/>
    <n v="2.65625"/>
    <n v="2.6927080000000001"/>
    <n v="2.6458330000000001"/>
    <x v="687"/>
    <n v="1.6866129999999999"/>
    <n v="36739200"/>
  </r>
  <r>
    <x v="1527"/>
    <n v="2.6822919999999999"/>
    <n v="2.6875"/>
    <n v="2.5885419999999999"/>
    <x v="659"/>
    <n v="1.640674"/>
    <n v="60403200"/>
  </r>
  <r>
    <x v="1528"/>
    <n v="2.59375"/>
    <n v="2.6041669999999999"/>
    <n v="2.4895830000000001"/>
    <x v="679"/>
    <n v="1.5914539999999999"/>
    <n v="89971200"/>
  </r>
  <r>
    <x v="1529"/>
    <n v="2.53125"/>
    <n v="2.5416669999999999"/>
    <n v="2.5"/>
    <x v="647"/>
    <n v="1.5750470000000001"/>
    <n v="40713600"/>
  </r>
  <r>
    <x v="1530"/>
    <n v="2.5104169999999999"/>
    <n v="2.5416669999999999"/>
    <n v="2.453125"/>
    <x v="668"/>
    <n v="1.5553589999999999"/>
    <n v="86702400"/>
  </r>
  <r>
    <x v="1531"/>
    <n v="2.4427080000000001"/>
    <n v="2.515625"/>
    <n v="2.4375"/>
    <x v="688"/>
    <n v="1.58161"/>
    <n v="74203200"/>
  </r>
  <r>
    <x v="1532"/>
    <n v="2.5104169999999999"/>
    <n v="2.53125"/>
    <n v="2.4322919999999999"/>
    <x v="689"/>
    <n v="1.535671"/>
    <n v="56918400"/>
  </r>
  <r>
    <x v="1533"/>
    <n v="2.4479169999999999"/>
    <n v="2.484375"/>
    <n v="2.4322919999999999"/>
    <x v="671"/>
    <n v="1.5422340000000001"/>
    <n v="59534400"/>
  </r>
  <r>
    <x v="1534"/>
    <n v="2.453125"/>
    <n v="2.5338539999999998"/>
    <n v="2.453125"/>
    <x v="679"/>
    <n v="1.5914539999999999"/>
    <n v="40123200"/>
  </r>
  <r>
    <x v="1535"/>
    <n v="2.5416669999999999"/>
    <n v="2.5520830000000001"/>
    <n v="2.4114580000000001"/>
    <x v="690"/>
    <n v="1.522546"/>
    <n v="72758400"/>
  </r>
  <r>
    <x v="1536"/>
    <n v="2.4114580000000001"/>
    <n v="2.4479169999999999"/>
    <n v="2.359375"/>
    <x v="691"/>
    <n v="1.5389520000000001"/>
    <n v="105388800"/>
  </r>
  <r>
    <x v="1537"/>
    <n v="2.4635419999999999"/>
    <n v="2.5052080000000001"/>
    <n v="2.4296880000000001"/>
    <x v="647"/>
    <n v="1.5750470000000001"/>
    <n v="70008000"/>
  </r>
  <r>
    <x v="1538"/>
    <n v="2.5260419999999999"/>
    <n v="2.5416669999999999"/>
    <n v="2.375"/>
    <x v="690"/>
    <n v="1.522546"/>
    <n v="126446400"/>
  </r>
  <r>
    <x v="1539"/>
    <n v="2.4322919999999999"/>
    <n v="2.4609380000000001"/>
    <n v="2.3802080000000001"/>
    <x v="671"/>
    <n v="1.5422340000000001"/>
    <n v="45552000"/>
  </r>
  <r>
    <x v="1540"/>
    <n v="2.4635419999999999"/>
    <n v="2.5052080000000001"/>
    <n v="2.4270830000000001"/>
    <x v="689"/>
    <n v="1.535671"/>
    <n v="72806400"/>
  </r>
  <r>
    <x v="1541"/>
    <n v="2.6822919999999999"/>
    <n v="2.6927080000000001"/>
    <n v="2.6354169999999999"/>
    <x v="692"/>
    <n v="1.691535"/>
    <n v="223305600"/>
  </r>
  <r>
    <x v="1542"/>
    <n v="2.6875"/>
    <n v="2.6875"/>
    <n v="2.6458330000000001"/>
    <x v="693"/>
    <n v="1.675128"/>
    <n v="66393600"/>
  </r>
  <r>
    <x v="1543"/>
    <n v="2.59375"/>
    <n v="2.6041669999999999"/>
    <n v="2.40625"/>
    <x v="694"/>
    <n v="1.550438"/>
    <n v="226118400"/>
  </r>
  <r>
    <x v="1544"/>
    <n v="2.4635419999999999"/>
    <n v="2.46875"/>
    <n v="2.40625"/>
    <x v="695"/>
    <n v="1.524187"/>
    <n v="99244800"/>
  </r>
  <r>
    <x v="1545"/>
    <n v="2.4270830000000001"/>
    <n v="2.46875"/>
    <n v="2.3854169999999999"/>
    <x v="696"/>
    <n v="1.5438750000000001"/>
    <n v="61790400"/>
  </r>
  <r>
    <x v="1546"/>
    <n v="2.46875"/>
    <n v="2.4791669999999999"/>
    <n v="2.3385419999999999"/>
    <x v="674"/>
    <n v="1.5192639999999999"/>
    <n v="115334400"/>
  </r>
  <r>
    <x v="1547"/>
    <n v="2.4166669999999999"/>
    <n v="2.4322919999999999"/>
    <n v="2.3333330000000001"/>
    <x v="697"/>
    <n v="1.473325"/>
    <n v="90393600"/>
  </r>
  <r>
    <x v="1548"/>
    <n v="2.34375"/>
    <n v="2.4270830000000001"/>
    <n v="2.34375"/>
    <x v="698"/>
    <n v="1.486451"/>
    <n v="99585600"/>
  </r>
  <r>
    <x v="1549"/>
    <n v="2.3697919999999999"/>
    <n v="2.3854169999999999"/>
    <n v="2.2291669999999999"/>
    <x v="699"/>
    <n v="1.4306680000000001"/>
    <n v="199876800"/>
  </r>
  <r>
    <x v="1550"/>
    <n v="2.28125"/>
    <n v="2.3229169999999999"/>
    <n v="2.2552080000000001"/>
    <x v="700"/>
    <n v="1.4618409999999999"/>
    <n v="137308800"/>
  </r>
  <r>
    <x v="1551"/>
    <n v="2.3333330000000001"/>
    <n v="2.3489580000000001"/>
    <n v="2.2864580000000001"/>
    <x v="701"/>
    <n v="1.4470749999999999"/>
    <n v="95870400"/>
  </r>
  <r>
    <x v="1552"/>
    <n v="2.3020830000000001"/>
    <n v="2.375"/>
    <n v="2.296875"/>
    <x v="702"/>
    <n v="1.4930140000000001"/>
    <n v="62083200"/>
  </r>
  <r>
    <x v="1553"/>
    <n v="2.3645830000000001"/>
    <n v="2.4166669999999999"/>
    <n v="2.34375"/>
    <x v="644"/>
    <n v="1.4962949999999999"/>
    <n v="73920000"/>
  </r>
  <r>
    <x v="1554"/>
    <n v="2.3697919999999999"/>
    <n v="2.4479169999999999"/>
    <n v="2.359375"/>
    <x v="646"/>
    <n v="1.5291090000000001"/>
    <n v="59246400"/>
  </r>
  <r>
    <x v="1555"/>
    <n v="2.4375"/>
    <n v="2.4427080000000001"/>
    <n v="2.40625"/>
    <x v="690"/>
    <n v="1.522546"/>
    <n v="50016000"/>
  </r>
  <r>
    <x v="1556"/>
    <n v="2.4166669999999999"/>
    <n v="2.4270830000000001"/>
    <n v="2.3802080000000001"/>
    <x v="703"/>
    <n v="1.5094209999999999"/>
    <n v="40579200"/>
  </r>
  <r>
    <x v="1557"/>
    <n v="2.4166669999999999"/>
    <n v="2.4375"/>
    <n v="2.359375"/>
    <x v="672"/>
    <n v="1.502858"/>
    <n v="59822400"/>
  </r>
  <r>
    <x v="1558"/>
    <n v="2.390625"/>
    <n v="2.4010419999999999"/>
    <n v="2.359375"/>
    <x v="644"/>
    <n v="1.4962949999999999"/>
    <n v="41112000"/>
  </r>
  <r>
    <x v="1559"/>
    <n v="2.390625"/>
    <n v="2.4010419999999999"/>
    <n v="2.3489580000000001"/>
    <x v="704"/>
    <n v="1.4995750000000001"/>
    <n v="49905600"/>
  </r>
  <r>
    <x v="1560"/>
    <n v="2.3697919999999999"/>
    <n v="2.3802080000000001"/>
    <n v="2.3125"/>
    <x v="705"/>
    <n v="1.4798880000000001"/>
    <n v="64320000"/>
  </r>
  <r>
    <x v="1561"/>
    <n v="2.3489580000000001"/>
    <n v="2.3541669999999999"/>
    <n v="2.2760419999999999"/>
    <x v="642"/>
    <n v="1.453638"/>
    <n v="72307200"/>
  </r>
  <r>
    <x v="1562"/>
    <n v="2.296875"/>
    <n v="2.3229169999999999"/>
    <n v="2.28125"/>
    <x v="706"/>
    <n v="1.443794"/>
    <n v="40814400"/>
  </r>
  <r>
    <x v="1563"/>
    <n v="2.3072919999999999"/>
    <n v="2.3645830000000001"/>
    <n v="2.3020830000000001"/>
    <x v="705"/>
    <n v="1.4798880000000001"/>
    <n v="37526400"/>
  </r>
  <r>
    <x v="1564"/>
    <n v="2.359375"/>
    <n v="2.3854169999999999"/>
    <n v="2.359375"/>
    <x v="672"/>
    <n v="1.502858"/>
    <n v="51240000"/>
  </r>
  <r>
    <x v="1565"/>
    <n v="2.3854169999999999"/>
    <n v="2.4375"/>
    <n v="2.3854169999999999"/>
    <x v="707"/>
    <n v="1.5323899999999999"/>
    <n v="58800000"/>
  </r>
  <r>
    <x v="1566"/>
    <n v="2.4375"/>
    <n v="2.4375"/>
    <n v="2.4010419999999999"/>
    <x v="708"/>
    <n v="1.5307489999999999"/>
    <n v="48566400"/>
  </r>
  <r>
    <x v="1567"/>
    <n v="2.4375"/>
    <n v="2.4375"/>
    <n v="2.3958330000000001"/>
    <x v="674"/>
    <n v="1.5192639999999999"/>
    <n v="36969600"/>
  </r>
  <r>
    <x v="1568"/>
    <n v="2.4166669999999999"/>
    <n v="2.4375"/>
    <n v="2.3958330000000001"/>
    <x v="709"/>
    <n v="1.5159830000000001"/>
    <n v="38217600"/>
  </r>
  <r>
    <x v="1569"/>
    <n v="2.4114580000000001"/>
    <n v="2.421875"/>
    <n v="2.390625"/>
    <x v="703"/>
    <n v="1.5094209999999999"/>
    <n v="31166400"/>
  </r>
  <r>
    <x v="1570"/>
    <n v="2.390625"/>
    <n v="2.4895830000000001"/>
    <n v="2.3854169999999999"/>
    <x v="680"/>
    <n v="1.561922"/>
    <n v="62702400"/>
  </r>
  <r>
    <x v="1571"/>
    <n v="2.4947919999999999"/>
    <n v="2.546875"/>
    <n v="2.4895830000000001"/>
    <x v="683"/>
    <n v="1.5881719999999999"/>
    <n v="89918400"/>
  </r>
  <r>
    <x v="1572"/>
    <n v="2.5104169999999999"/>
    <n v="2.5885419999999999"/>
    <n v="2.5"/>
    <x v="648"/>
    <n v="1.6308309999999999"/>
    <n v="68529600"/>
  </r>
  <r>
    <x v="1573"/>
    <n v="2.5885419999999999"/>
    <n v="2.59375"/>
    <n v="2.546875"/>
    <x v="710"/>
    <n v="1.6127830000000001"/>
    <n v="42585600"/>
  </r>
  <r>
    <x v="1574"/>
    <n v="2.5520830000000001"/>
    <n v="2.5885419999999999"/>
    <n v="2.5520830000000001"/>
    <x v="677"/>
    <n v="1.6144240000000001"/>
    <n v="28190400"/>
  </r>
  <r>
    <x v="1575"/>
    <n v="2.5677080000000001"/>
    <n v="2.5729169999999999"/>
    <n v="2.5520830000000001"/>
    <x v="711"/>
    <n v="1.609502"/>
    <n v="41755200"/>
  </r>
  <r>
    <x v="1576"/>
    <n v="2.5520830000000001"/>
    <n v="2.5625"/>
    <n v="2.515625"/>
    <x v="683"/>
    <n v="1.5881719999999999"/>
    <n v="40939200"/>
  </r>
  <r>
    <x v="1577"/>
    <n v="2.515625"/>
    <n v="2.5208330000000001"/>
    <n v="2.4635419999999999"/>
    <x v="669"/>
    <n v="1.5520780000000001"/>
    <n v="40228800"/>
  </r>
  <r>
    <x v="1578"/>
    <n v="2.46875"/>
    <n v="2.4791669999999999"/>
    <n v="2.375"/>
    <x v="703"/>
    <n v="1.5094209999999999"/>
    <n v="84604800"/>
  </r>
  <r>
    <x v="1579"/>
    <n v="2.4010419999999999"/>
    <n v="2.40625"/>
    <n v="2.3333330000000001"/>
    <x v="712"/>
    <n v="1.4766060000000001"/>
    <n v="65457600"/>
  </r>
  <r>
    <x v="1580"/>
    <n v="2.34375"/>
    <n v="2.4010419999999999"/>
    <n v="2.2395830000000001"/>
    <x v="713"/>
    <n v="1.417543"/>
    <n v="130732800"/>
  </r>
  <r>
    <x v="1581"/>
    <n v="2.296875"/>
    <n v="2.3541669999999999"/>
    <n v="2.2682289999999998"/>
    <x v="712"/>
    <n v="1.4766060000000001"/>
    <n v="138028800"/>
  </r>
  <r>
    <x v="1582"/>
    <n v="2.34375"/>
    <n v="2.4375"/>
    <n v="2.34375"/>
    <x v="714"/>
    <n v="1.4913730000000001"/>
    <n v="54940800"/>
  </r>
  <r>
    <x v="1583"/>
    <n v="2.359375"/>
    <n v="2.390625"/>
    <n v="2.265625"/>
    <x v="715"/>
    <n v="1.4323090000000001"/>
    <n v="57376000"/>
  </r>
  <r>
    <x v="1584"/>
    <n v="2.265625"/>
    <n v="2.2890630000000001"/>
    <n v="2.234375"/>
    <x v="716"/>
    <n v="1.4249259999999999"/>
    <n v="70032000"/>
  </r>
  <r>
    <x v="1585"/>
    <n v="2.28125"/>
    <n v="2.3359380000000001"/>
    <n v="2.21875"/>
    <x v="717"/>
    <n v="1.4224650000000001"/>
    <n v="53356800"/>
  </r>
  <r>
    <x v="1586"/>
    <n v="2.296875"/>
    <n v="2.3203130000000001"/>
    <n v="2.2734380000000001"/>
    <x v="701"/>
    <n v="1.4470749999999999"/>
    <n v="43110400"/>
  </r>
  <r>
    <x v="1587"/>
    <n v="2.2890630000000001"/>
    <n v="2.328125"/>
    <n v="2.234375"/>
    <x v="700"/>
    <n v="1.4618409999999999"/>
    <n v="54080000"/>
  </r>
  <r>
    <x v="1588"/>
    <n v="2.3359380000000001"/>
    <n v="2.3671880000000001"/>
    <n v="2.2734380000000001"/>
    <x v="701"/>
    <n v="1.4470749999999999"/>
    <n v="57420800"/>
  </r>
  <r>
    <x v="1589"/>
    <n v="2.3046880000000001"/>
    <n v="2.3046880000000001"/>
    <n v="2.2421880000000001"/>
    <x v="717"/>
    <n v="1.4224650000000001"/>
    <n v="34096000"/>
  </r>
  <r>
    <x v="1590"/>
    <n v="2.2578130000000001"/>
    <n v="2.2578130000000001"/>
    <n v="2.078125"/>
    <x v="718"/>
    <n v="1.3781669999999999"/>
    <n v="165340800"/>
  </r>
  <r>
    <x v="1591"/>
    <n v="2.171875"/>
    <n v="2.1796880000000001"/>
    <n v="2.0546880000000001"/>
    <x v="719"/>
    <n v="1.3141799999999999"/>
    <n v="140982400"/>
  </r>
  <r>
    <x v="1592"/>
    <n v="2.140625"/>
    <n v="2.2734380000000001"/>
    <n v="2.1328130000000001"/>
    <x v="717"/>
    <n v="1.4224650000000001"/>
    <n v="90963200"/>
  </r>
  <r>
    <x v="1593"/>
    <n v="2.2734380000000001"/>
    <n v="2.28125"/>
    <n v="2.171875"/>
    <x v="718"/>
    <n v="1.3781669999999999"/>
    <n v="74048000"/>
  </r>
  <r>
    <x v="1594"/>
    <n v="2.1953130000000001"/>
    <n v="2.2734380000000001"/>
    <n v="2.171875"/>
    <x v="720"/>
    <n v="1.4200029999999999"/>
    <n v="45136000"/>
  </r>
  <r>
    <x v="1595"/>
    <n v="2.2734380000000001"/>
    <n v="2.28125"/>
    <n v="2.1484380000000001"/>
    <x v="721"/>
    <n v="1.3757060000000001"/>
    <n v="80563200"/>
  </r>
  <r>
    <x v="1596"/>
    <n v="2.1875"/>
    <n v="2.1953130000000001"/>
    <n v="2.1171880000000001"/>
    <x v="631"/>
    <n v="1.368323"/>
    <n v="36224000"/>
  </r>
  <r>
    <x v="1597"/>
    <n v="2.1796880000000001"/>
    <n v="2.1796880000000001"/>
    <n v="2.1015630000000001"/>
    <x v="629"/>
    <n v="1.3387899999999999"/>
    <n v="54396800"/>
  </r>
  <r>
    <x v="1598"/>
    <n v="2.125"/>
    <n v="2.15625"/>
    <n v="2.046875"/>
    <x v="722"/>
    <n v="1.3510949999999999"/>
    <n v="93417600"/>
  </r>
  <r>
    <x v="1599"/>
    <n v="2.15625"/>
    <n v="2.2109380000000001"/>
    <n v="2.1328130000000001"/>
    <x v="723"/>
    <n v="1.3584780000000001"/>
    <n v="61174400"/>
  </r>
  <r>
    <x v="1600"/>
    <n v="2.1640630000000001"/>
    <n v="2.1875"/>
    <n v="2.1132810000000002"/>
    <x v="631"/>
    <n v="1.368323"/>
    <n v="28905600"/>
  </r>
  <r>
    <x v="1601"/>
    <n v="2.1796880000000001"/>
    <n v="2.2265630000000001"/>
    <n v="2.140625"/>
    <x v="718"/>
    <n v="1.3781669999999999"/>
    <n v="35113600"/>
  </r>
  <r>
    <x v="1602"/>
    <n v="2.203125"/>
    <n v="2.234375"/>
    <n v="2.1953130000000001"/>
    <x v="724"/>
    <n v="1.400315"/>
    <n v="41116800"/>
  </r>
  <r>
    <x v="1603"/>
    <n v="2.2421880000000001"/>
    <n v="2.2890630000000001"/>
    <n v="2.21875"/>
    <x v="725"/>
    <n v="1.407699"/>
    <n v="80172800"/>
  </r>
  <r>
    <x v="1604"/>
    <n v="2.21875"/>
    <n v="2.2578130000000001"/>
    <n v="2.2109380000000001"/>
    <x v="717"/>
    <n v="1.4224650000000001"/>
    <n v="42291200"/>
  </r>
  <r>
    <x v="1605"/>
    <n v="2.2421880000000001"/>
    <n v="2.25"/>
    <n v="2.1796880000000001"/>
    <x v="726"/>
    <n v="1.383089"/>
    <n v="59865600"/>
  </r>
  <r>
    <x v="1606"/>
    <n v="2.171875"/>
    <n v="2.1953130000000001"/>
    <n v="2.140625"/>
    <x v="727"/>
    <n v="1.3634010000000001"/>
    <n v="48707200"/>
  </r>
  <r>
    <x v="1607"/>
    <n v="2.1875"/>
    <n v="2.2734380000000001"/>
    <n v="2.171875"/>
    <x v="728"/>
    <n v="1.4126209999999999"/>
    <n v="45907200"/>
  </r>
  <r>
    <x v="1608"/>
    <n v="2.2421880000000001"/>
    <n v="2.2421880000000001"/>
    <n v="2.171875"/>
    <x v="718"/>
    <n v="1.3781669999999999"/>
    <n v="59008000"/>
  </r>
  <r>
    <x v="1609"/>
    <n v="2.1796880000000001"/>
    <n v="2.2578130000000001"/>
    <n v="2.1484380000000001"/>
    <x v="729"/>
    <n v="1.3978550000000001"/>
    <n v="68441600"/>
  </r>
  <r>
    <x v="1610"/>
    <n v="2.2226560000000002"/>
    <n v="2.3046880000000001"/>
    <n v="2.21875"/>
    <x v="715"/>
    <n v="1.4323090000000001"/>
    <n v="76259200"/>
  </r>
  <r>
    <x v="1611"/>
    <n v="2.2734380000000001"/>
    <n v="2.296875"/>
    <n v="2.2578130000000001"/>
    <x v="730"/>
    <n v="1.4372309999999999"/>
    <n v="30512000"/>
  </r>
  <r>
    <x v="1612"/>
    <n v="2.296875"/>
    <n v="2.328125"/>
    <n v="2.2734380000000001"/>
    <x v="731"/>
    <n v="1.4569190000000001"/>
    <n v="45363200"/>
  </r>
  <r>
    <x v="1613"/>
    <n v="2.328125"/>
    <n v="2.3359380000000001"/>
    <n v="2.25"/>
    <x v="731"/>
    <n v="1.4569190000000001"/>
    <n v="145273600"/>
  </r>
  <r>
    <x v="1614"/>
    <n v="2.296875"/>
    <n v="2.328125"/>
    <n v="2.28125"/>
    <x v="732"/>
    <n v="1.4396910000000001"/>
    <n v="32035200"/>
  </r>
  <r>
    <x v="1615"/>
    <n v="2.296875"/>
    <n v="2.296875"/>
    <n v="2.2578130000000001"/>
    <x v="715"/>
    <n v="1.4323090000000001"/>
    <n v="35312000"/>
  </r>
  <r>
    <x v="1616"/>
    <n v="2.2734380000000001"/>
    <n v="2.3203130000000001"/>
    <n v="2.25"/>
    <x v="733"/>
    <n v="1.451997"/>
    <n v="31516800"/>
  </r>
  <r>
    <x v="1617"/>
    <n v="2.3125"/>
    <n v="2.328125"/>
    <n v="2.296875"/>
    <x v="734"/>
    <n v="1.454458"/>
    <n v="31430400"/>
  </r>
  <r>
    <x v="1618"/>
    <n v="2.3046880000000001"/>
    <n v="2.3046880000000001"/>
    <n v="2.2265630000000001"/>
    <x v="713"/>
    <n v="1.417543"/>
    <n v="60150400"/>
  </r>
  <r>
    <x v="1619"/>
    <n v="2.234375"/>
    <n v="2.25"/>
    <n v="2.1953130000000001"/>
    <x v="725"/>
    <n v="1.407699"/>
    <n v="3705600"/>
  </r>
  <r>
    <x v="1620"/>
    <n v="2.234375"/>
    <n v="2.3046880000000001"/>
    <n v="2.203125"/>
    <x v="735"/>
    <n v="1.392933"/>
    <n v="55008000"/>
  </r>
  <r>
    <x v="1621"/>
    <n v="2.21875"/>
    <n v="2.265625"/>
    <n v="2.2109380000000001"/>
    <x v="736"/>
    <n v="1.395394"/>
    <n v="42067200"/>
  </r>
  <r>
    <x v="1622"/>
    <n v="2.2265630000000001"/>
    <n v="2.2460939999999998"/>
    <n v="2.1875"/>
    <x v="737"/>
    <n v="1.405238"/>
    <n v="33436800"/>
  </r>
  <r>
    <x v="1623"/>
    <n v="2.2421880000000001"/>
    <n v="2.265625"/>
    <n v="2.2109380000000001"/>
    <x v="729"/>
    <n v="1.3978550000000001"/>
    <n v="30441600"/>
  </r>
  <r>
    <x v="1624"/>
    <n v="2.2265630000000001"/>
    <n v="2.2421880000000001"/>
    <n v="2.203125"/>
    <x v="736"/>
    <n v="1.395394"/>
    <n v="28227200"/>
  </r>
  <r>
    <x v="1625"/>
    <n v="2.21875"/>
    <n v="2.2421880000000001"/>
    <n v="2.2109380000000001"/>
    <x v="729"/>
    <n v="1.3978550000000001"/>
    <n v="33942400"/>
  </r>
  <r>
    <x v="1626"/>
    <n v="2.2109380000000001"/>
    <n v="2.21875"/>
    <n v="2.171875"/>
    <x v="631"/>
    <n v="1.368323"/>
    <n v="63318400"/>
  </r>
  <r>
    <x v="1627"/>
    <n v="2.15625"/>
    <n v="2.2109380000000001"/>
    <n v="2.125"/>
    <x v="631"/>
    <n v="1.368323"/>
    <n v="66313600"/>
  </r>
  <r>
    <x v="1628"/>
    <n v="2.171875"/>
    <n v="2.203125"/>
    <n v="2.1484380000000001"/>
    <x v="727"/>
    <n v="1.3634010000000001"/>
    <n v="27433600"/>
  </r>
  <r>
    <x v="1629"/>
    <n v="2.171875"/>
    <n v="2.2109380000000001"/>
    <n v="2.15625"/>
    <x v="738"/>
    <n v="1.3855489999999999"/>
    <n v="36534400"/>
  </r>
  <r>
    <x v="1630"/>
    <n v="2.203125"/>
    <n v="2.2148439999999998"/>
    <n v="2.15625"/>
    <x v="739"/>
    <n v="1.3732439999999999"/>
    <n v="52710400"/>
  </r>
  <r>
    <x v="1631"/>
    <n v="2.1757810000000002"/>
    <n v="2.1875"/>
    <n v="2.1484380000000001"/>
    <x v="723"/>
    <n v="1.3584780000000001"/>
    <n v="42800000"/>
  </r>
  <r>
    <x v="1632"/>
    <n v="2.1484380000000001"/>
    <n v="2.2109380000000001"/>
    <n v="2.140625"/>
    <x v="738"/>
    <n v="1.3855489999999999"/>
    <n v="37123200"/>
  </r>
  <r>
    <x v="1633"/>
    <n v="2.1953130000000001"/>
    <n v="2.2578130000000001"/>
    <n v="2.1953130000000001"/>
    <x v="740"/>
    <n v="1.4101589999999999"/>
    <n v="50016000"/>
  </r>
  <r>
    <x v="1634"/>
    <n v="2.25"/>
    <n v="2.3125"/>
    <n v="2.25"/>
    <x v="741"/>
    <n v="1.4495359999999999"/>
    <n v="88028800"/>
  </r>
  <r>
    <x v="1635"/>
    <n v="2.296875"/>
    <n v="2.328125"/>
    <n v="2.296875"/>
    <x v="742"/>
    <n v="1.464302"/>
    <n v="49468800"/>
  </r>
  <r>
    <x v="1636"/>
    <n v="2.3203130000000001"/>
    <n v="2.34375"/>
    <n v="2.296875"/>
    <x v="743"/>
    <n v="1.4667619999999999"/>
    <n v="25651200"/>
  </r>
  <r>
    <x v="1637"/>
    <n v="2.3125"/>
    <n v="2.3320310000000002"/>
    <n v="2.2890630000000001"/>
    <x v="743"/>
    <n v="1.4667619999999999"/>
    <n v="30825600"/>
  </r>
  <r>
    <x v="1638"/>
    <n v="2.328125"/>
    <n v="2.3671880000000001"/>
    <n v="2.3046880000000001"/>
    <x v="744"/>
    <n v="1.4839899999999999"/>
    <n v="61955200"/>
  </r>
  <r>
    <x v="1639"/>
    <n v="2.3671880000000001"/>
    <n v="2.4140630000000001"/>
    <n v="2.359375"/>
    <x v="745"/>
    <n v="1.508599"/>
    <n v="85296000"/>
  </r>
  <r>
    <x v="1640"/>
    <n v="2.3828130000000001"/>
    <n v="2.390625"/>
    <n v="2.359375"/>
    <x v="644"/>
    <n v="1.4962949999999999"/>
    <n v="28585600"/>
  </r>
  <r>
    <x v="1641"/>
    <n v="2.375"/>
    <n v="2.4023439999999998"/>
    <n v="2.3515630000000001"/>
    <x v="670"/>
    <n v="1.511061"/>
    <n v="49376000"/>
  </r>
  <r>
    <x v="1642"/>
    <n v="2.3984380000000001"/>
    <n v="2.4492189999999998"/>
    <n v="2.390625"/>
    <x v="746"/>
    <n v="1.5381320000000001"/>
    <n v="60982400"/>
  </r>
  <r>
    <x v="1643"/>
    <n v="2.4453130000000001"/>
    <n v="2.46875"/>
    <n v="2.421875"/>
    <x v="668"/>
    <n v="1.5553589999999999"/>
    <n v="53302400"/>
  </r>
  <r>
    <x v="1644"/>
    <n v="2.453125"/>
    <n v="2.4765630000000001"/>
    <n v="2.4375"/>
    <x v="694"/>
    <n v="1.550438"/>
    <n v="30796800"/>
  </r>
  <r>
    <x v="1645"/>
    <n v="2.4921880000000001"/>
    <n v="2.5625"/>
    <n v="2.4921880000000001"/>
    <x v="711"/>
    <n v="1.609502"/>
    <n v="95100800"/>
  </r>
  <r>
    <x v="1646"/>
    <n v="2.546875"/>
    <n v="2.5546880000000001"/>
    <n v="2.5"/>
    <x v="747"/>
    <n v="1.599658"/>
    <n v="44614400"/>
  </r>
  <r>
    <x v="1647"/>
    <n v="2.4921880000000001"/>
    <n v="2.5546880000000001"/>
    <n v="2.484375"/>
    <x v="748"/>
    <n v="1.5824309999999999"/>
    <n v="35708800"/>
  </r>
  <r>
    <x v="1648"/>
    <n v="2.515625"/>
    <n v="2.546875"/>
    <n v="2.5078130000000001"/>
    <x v="749"/>
    <n v="1.5971960000000001"/>
    <n v="23590400"/>
  </r>
  <r>
    <x v="1649"/>
    <n v="2.5390630000000001"/>
    <n v="2.546875"/>
    <n v="2.4492189999999998"/>
    <x v="750"/>
    <n v="1.572586"/>
    <n v="71683200"/>
  </r>
  <r>
    <x v="1650"/>
    <n v="2.4609380000000001"/>
    <n v="2.484375"/>
    <n v="2.4453130000000001"/>
    <x v="751"/>
    <n v="1.55782"/>
    <n v="31811200"/>
  </r>
  <r>
    <x v="1651"/>
    <n v="2.46875"/>
    <n v="2.4726560000000002"/>
    <n v="2.421875"/>
    <x v="708"/>
    <n v="1.5307489999999999"/>
    <n v="30777600"/>
  </r>
  <r>
    <x v="1652"/>
    <n v="2.4296880000000001"/>
    <n v="2.4921880000000001"/>
    <n v="2.421875"/>
    <x v="751"/>
    <n v="1.55782"/>
    <n v="37654400"/>
  </r>
  <r>
    <x v="1653"/>
    <n v="2.4765630000000001"/>
    <n v="2.515625"/>
    <n v="2.4765630000000001"/>
    <x v="752"/>
    <n v="1.579969"/>
    <n v="36953600"/>
  </r>
  <r>
    <x v="1654"/>
    <n v="2.5078130000000001"/>
    <n v="2.5117189999999998"/>
    <n v="2.375"/>
    <x v="694"/>
    <n v="1.550438"/>
    <n v="41817600"/>
  </r>
  <r>
    <x v="1655"/>
    <n v="2.390625"/>
    <n v="2.4453130000000001"/>
    <n v="2.3828130000000001"/>
    <x v="709"/>
    <n v="1.5159830000000001"/>
    <n v="52854400"/>
  </r>
  <r>
    <x v="1656"/>
    <n v="2.40625"/>
    <n v="2.46875"/>
    <n v="2.40625"/>
    <x v="694"/>
    <n v="1.550438"/>
    <n v="39392000"/>
  </r>
  <r>
    <x v="1657"/>
    <n v="2.4921880000000001"/>
    <n v="2.515625"/>
    <n v="2.4609380000000001"/>
    <x v="662"/>
    <n v="1.584891"/>
    <n v="59843200"/>
  </r>
  <r>
    <x v="1658"/>
    <n v="2.5"/>
    <n v="2.53125"/>
    <n v="2.484375"/>
    <x v="753"/>
    <n v="1.5676639999999999"/>
    <n v="47804800"/>
  </r>
  <r>
    <x v="1659"/>
    <n v="2.4765630000000001"/>
    <n v="2.4921880000000001"/>
    <n v="2.4375"/>
    <x v="694"/>
    <n v="1.550438"/>
    <n v="36803200"/>
  </r>
  <r>
    <x v="1660"/>
    <n v="2.453125"/>
    <n v="2.5546880000000001"/>
    <n v="2.3671880000000001"/>
    <x v="711"/>
    <n v="1.609502"/>
    <n v="71347200"/>
  </r>
  <r>
    <x v="1661"/>
    <n v="2.5703130000000001"/>
    <n v="2.609375"/>
    <n v="2.5390630000000001"/>
    <x v="754"/>
    <n v="1.6242669999999999"/>
    <n v="74316800"/>
  </r>
  <r>
    <x v="1662"/>
    <n v="2.578125"/>
    <n v="2.6328130000000001"/>
    <n v="2.53125"/>
    <x v="749"/>
    <n v="1.5971960000000001"/>
    <n v="58153600"/>
  </r>
  <r>
    <x v="1663"/>
    <n v="2.5703130000000001"/>
    <n v="2.640625"/>
    <n v="2.5546880000000001"/>
    <x v="755"/>
    <n v="1.6414949999999999"/>
    <n v="59532800"/>
  </r>
  <r>
    <x v="1664"/>
    <n v="2.609375"/>
    <n v="2.609375"/>
    <n v="2.546875"/>
    <x v="756"/>
    <n v="1.621807"/>
    <n v="40182400"/>
  </r>
  <r>
    <x v="1665"/>
    <n v="2.59375"/>
    <n v="2.625"/>
    <n v="2.5859380000000001"/>
    <x v="757"/>
    <n v="1.651338"/>
    <n v="34700800"/>
  </r>
  <r>
    <x v="1666"/>
    <n v="2.6484380000000001"/>
    <n v="2.6679689999999998"/>
    <n v="2.6015630000000001"/>
    <x v="685"/>
    <n v="1.6587229999999999"/>
    <n v="86643200"/>
  </r>
  <r>
    <x v="1667"/>
    <n v="2.6367189999999998"/>
    <n v="2.65625"/>
    <n v="2.59375"/>
    <x v="650"/>
    <n v="1.6439550000000001"/>
    <n v="47456000"/>
  </r>
  <r>
    <x v="1668"/>
    <n v="2.6015630000000001"/>
    <n v="2.6484380000000001"/>
    <n v="2.5859380000000001"/>
    <x v="758"/>
    <n v="1.6636439999999999"/>
    <n v="35942400"/>
  </r>
  <r>
    <x v="1669"/>
    <n v="2.6484380000000001"/>
    <n v="2.671875"/>
    <n v="2.6171880000000001"/>
    <x v="759"/>
    <n v="1.680871"/>
    <n v="47644800"/>
  </r>
  <r>
    <x v="1670"/>
    <n v="2.65625"/>
    <n v="2.7578130000000001"/>
    <n v="2.65625"/>
    <x v="760"/>
    <n v="1.730091"/>
    <n v="83280000"/>
  </r>
  <r>
    <x v="1671"/>
    <n v="2.7578130000000001"/>
    <n v="2.8046880000000001"/>
    <n v="2.71875"/>
    <x v="760"/>
    <n v="1.730091"/>
    <n v="84150400"/>
  </r>
  <r>
    <x v="1672"/>
    <n v="2.7578130000000001"/>
    <n v="2.8125"/>
    <n v="2.7421880000000001"/>
    <x v="761"/>
    <n v="1.7719279999999999"/>
    <n v="60396800"/>
  </r>
  <r>
    <x v="1673"/>
    <n v="2.8125"/>
    <n v="2.8203130000000001"/>
    <n v="2.7578130000000001"/>
    <x v="762"/>
    <n v="1.767007"/>
    <n v="49174400"/>
  </r>
  <r>
    <x v="1674"/>
    <n v="2.8203130000000001"/>
    <n v="2.8203130000000001"/>
    <n v="2.7578130000000001"/>
    <x v="763"/>
    <n v="1.7448570000000001"/>
    <n v="46006400"/>
  </r>
  <r>
    <x v="1675"/>
    <n v="2.765625"/>
    <n v="2.8203130000000001"/>
    <n v="2.7421880000000001"/>
    <x v="761"/>
    <n v="1.7719279999999999"/>
    <n v="40121600"/>
  </r>
  <r>
    <x v="1676"/>
    <n v="2.8125"/>
    <n v="2.8203130000000001"/>
    <n v="2.734375"/>
    <x v="764"/>
    <n v="1.7325520000000001"/>
    <n v="49116800"/>
  </r>
  <r>
    <x v="1677"/>
    <n v="2.7578130000000001"/>
    <n v="2.7734380000000001"/>
    <n v="2.7265630000000001"/>
    <x v="765"/>
    <n v="1.7423960000000001"/>
    <n v="36172800"/>
  </r>
  <r>
    <x v="1678"/>
    <n v="2.7734380000000001"/>
    <n v="2.8125"/>
    <n v="2.765625"/>
    <x v="761"/>
    <n v="1.7719279999999999"/>
    <n v="32774400"/>
  </r>
  <r>
    <x v="1679"/>
    <n v="2.8085939999999998"/>
    <n v="2.8125"/>
    <n v="2.765625"/>
    <x v="766"/>
    <n v="1.7473179999999999"/>
    <n v="24998400"/>
  </r>
  <r>
    <x v="1680"/>
    <n v="2.78125"/>
    <n v="2.8125"/>
    <n v="2.7421880000000001"/>
    <x v="767"/>
    <n v="1.764545"/>
    <n v="31091200"/>
  </r>
  <r>
    <x v="1681"/>
    <n v="2.796875"/>
    <n v="2.8046880000000001"/>
    <n v="2.7382810000000002"/>
    <x v="768"/>
    <n v="1.737474"/>
    <n v="35267200"/>
  </r>
  <r>
    <x v="1682"/>
    <n v="2.7578130000000001"/>
    <n v="2.8046880000000001"/>
    <n v="2.75"/>
    <x v="765"/>
    <n v="1.7423960000000001"/>
    <n v="23657600"/>
  </r>
  <r>
    <x v="1683"/>
    <n v="2.78125"/>
    <n v="2.8828130000000001"/>
    <n v="2.7578130000000001"/>
    <x v="769"/>
    <n v="1.8088439999999999"/>
    <n v="90361600"/>
  </r>
  <r>
    <x v="1684"/>
    <n v="2.8671880000000001"/>
    <n v="2.9140630000000001"/>
    <n v="2.8515630000000001"/>
    <x v="770"/>
    <n v="1.826071"/>
    <n v="61155200"/>
  </r>
  <r>
    <x v="1685"/>
    <n v="2.8984380000000001"/>
    <n v="2.8984380000000001"/>
    <n v="2.828125"/>
    <x v="769"/>
    <n v="1.8088439999999999"/>
    <n v="54796800"/>
  </r>
  <r>
    <x v="1686"/>
    <n v="2.875"/>
    <n v="2.9140630000000001"/>
    <n v="2.859375"/>
    <x v="771"/>
    <n v="1.828532"/>
    <n v="38710400"/>
  </r>
  <r>
    <x v="1687"/>
    <n v="2.8984380000000001"/>
    <n v="2.96875"/>
    <n v="2.8828130000000001"/>
    <x v="772"/>
    <n v="1.8457589999999999"/>
    <n v="60748800"/>
  </r>
  <r>
    <x v="1688"/>
    <n v="2.9296880000000001"/>
    <n v="2.9453130000000001"/>
    <n v="2.875"/>
    <x v="773"/>
    <n v="1.8408359999999999"/>
    <n v="46960000"/>
  </r>
  <r>
    <x v="1689"/>
    <n v="2.921875"/>
    <n v="2.9296880000000001"/>
    <n v="2.890625"/>
    <x v="774"/>
    <n v="1.835915"/>
    <n v="25811200"/>
  </r>
  <r>
    <x v="1690"/>
    <n v="2.90625"/>
    <n v="2.921875"/>
    <n v="2.8828130000000001"/>
    <x v="770"/>
    <n v="1.826071"/>
    <n v="19312000"/>
  </r>
  <r>
    <x v="1691"/>
    <n v="2.9023439999999998"/>
    <n v="2.9375"/>
    <n v="2.7890630000000001"/>
    <x v="761"/>
    <n v="1.7719279999999999"/>
    <n v="56649600"/>
  </r>
  <r>
    <x v="1692"/>
    <n v="2.828125"/>
    <n v="2.890625"/>
    <n v="2.8085939999999998"/>
    <x v="775"/>
    <n v="1.811304"/>
    <n v="33273600"/>
  </r>
  <r>
    <x v="1693"/>
    <n v="2.8828130000000001"/>
    <n v="2.96875"/>
    <n v="2.8828130000000001"/>
    <x v="776"/>
    <n v="1.850681"/>
    <n v="46857600"/>
  </r>
  <r>
    <x v="1694"/>
    <n v="2.9375"/>
    <n v="2.96875"/>
    <n v="2.9296880000000001"/>
    <x v="777"/>
    <n v="1.8703689999999999"/>
    <n v="41113600"/>
  </r>
  <r>
    <x v="1695"/>
    <n v="2.8203130000000001"/>
    <n v="2.8671880000000001"/>
    <n v="2.7265630000000001"/>
    <x v="765"/>
    <n v="1.7423960000000001"/>
    <n v="309884800"/>
  </r>
  <r>
    <x v="1696"/>
    <n v="2.8515630000000001"/>
    <n v="2.8984380000000001"/>
    <n v="2.7890630000000001"/>
    <x v="778"/>
    <n v="1.801461"/>
    <n v="145513600"/>
  </r>
  <r>
    <x v="1697"/>
    <n v="2.875"/>
    <n v="2.890625"/>
    <n v="2.8203130000000001"/>
    <x v="779"/>
    <n v="1.7940780000000001"/>
    <n v="53152000"/>
  </r>
  <r>
    <x v="1698"/>
    <n v="2.859375"/>
    <n v="2.890625"/>
    <n v="2.84375"/>
    <x v="780"/>
    <n v="1.8063819999999999"/>
    <n v="17593600"/>
  </r>
  <r>
    <x v="1699"/>
    <n v="2.890625"/>
    <n v="2.9140630000000001"/>
    <n v="2.8671880000000001"/>
    <x v="781"/>
    <n v="1.833453"/>
    <n v="35251200"/>
  </r>
  <r>
    <x v="1700"/>
    <n v="2.8984380000000001"/>
    <n v="2.921875"/>
    <n v="2.875"/>
    <x v="781"/>
    <n v="1.833453"/>
    <n v="33593600"/>
  </r>
  <r>
    <x v="1701"/>
    <n v="2.90625"/>
    <n v="2.921875"/>
    <n v="2.828125"/>
    <x v="782"/>
    <n v="1.7866949999999999"/>
    <n v="49881600"/>
  </r>
  <r>
    <x v="1702"/>
    <n v="2.8359380000000001"/>
    <n v="2.890625"/>
    <n v="2.828125"/>
    <x v="783"/>
    <n v="1.8039210000000001"/>
    <n v="26048000"/>
  </r>
  <r>
    <x v="1703"/>
    <n v="2.859375"/>
    <n v="2.890625"/>
    <n v="2.8515630000000001"/>
    <x v="780"/>
    <n v="1.8063819999999999"/>
    <n v="23548800"/>
  </r>
  <r>
    <x v="1704"/>
    <n v="2.875"/>
    <n v="2.921875"/>
    <n v="2.84375"/>
    <x v="784"/>
    <n v="1.8383750000000001"/>
    <n v="46422400"/>
  </r>
  <r>
    <x v="1705"/>
    <n v="2.9296880000000001"/>
    <n v="2.9375"/>
    <n v="2.859375"/>
    <x v="785"/>
    <n v="1.8211489999999999"/>
    <n v="26908800"/>
  </r>
  <r>
    <x v="1706"/>
    <n v="2.8671880000000001"/>
    <n v="2.9140630000000001"/>
    <n v="2.8515630000000001"/>
    <x v="775"/>
    <n v="1.811304"/>
    <n v="26048000"/>
  </r>
  <r>
    <x v="1707"/>
    <n v="2.8125"/>
    <n v="2.8671880000000001"/>
    <n v="2.765625"/>
    <x v="786"/>
    <n v="1.75224"/>
    <n v="89296000"/>
  </r>
  <r>
    <x v="1708"/>
    <n v="2.765625"/>
    <n v="2.78125"/>
    <n v="2.6796880000000001"/>
    <x v="787"/>
    <n v="1.7005589999999999"/>
    <n v="112934400"/>
  </r>
  <r>
    <x v="1709"/>
    <n v="2.7109380000000001"/>
    <n v="2.7578130000000001"/>
    <n v="2.703125"/>
    <x v="788"/>
    <n v="1.715325"/>
    <n v="51286400"/>
  </r>
  <r>
    <x v="1710"/>
    <n v="2.7265630000000001"/>
    <n v="2.7421880000000001"/>
    <n v="2.671875"/>
    <x v="787"/>
    <n v="1.7005589999999999"/>
    <n v="45289600"/>
  </r>
  <r>
    <x v="1711"/>
    <n v="2.703125"/>
    <n v="2.7578130000000001"/>
    <n v="2.6640630000000001"/>
    <x v="789"/>
    <n v="1.7128639999999999"/>
    <n v="73792000"/>
  </r>
  <r>
    <x v="1712"/>
    <n v="2.7265630000000001"/>
    <n v="2.8203130000000001"/>
    <n v="2.71875"/>
    <x v="761"/>
    <n v="1.7719279999999999"/>
    <n v="51859200"/>
  </r>
  <r>
    <x v="1713"/>
    <n v="2.78125"/>
    <n v="2.8203130000000001"/>
    <n v="2.765625"/>
    <x v="761"/>
    <n v="1.7719279999999999"/>
    <n v="74387200"/>
  </r>
  <r>
    <x v="1714"/>
    <n v="2.8046880000000001"/>
    <n v="2.875"/>
    <n v="2.7890630000000001"/>
    <x v="790"/>
    <n v="1.7817719999999999"/>
    <n v="64928000"/>
  </r>
  <r>
    <x v="1715"/>
    <n v="2.84375"/>
    <n v="2.859375"/>
    <n v="2.71875"/>
    <x v="791"/>
    <n v="1.72763"/>
    <n v="56928000"/>
  </r>
  <r>
    <x v="1716"/>
    <n v="2.75"/>
    <n v="2.7578130000000001"/>
    <n v="2.6875"/>
    <x v="792"/>
    <n v="1.717786"/>
    <n v="59974400"/>
  </r>
  <r>
    <x v="1717"/>
    <n v="2.7265630000000001"/>
    <n v="2.7265630000000001"/>
    <n v="2.6875"/>
    <x v="792"/>
    <n v="1.717786"/>
    <n v="32723200"/>
  </r>
  <r>
    <x v="1718"/>
    <n v="2.7265630000000001"/>
    <n v="2.7421880000000001"/>
    <n v="2.6875"/>
    <x v="793"/>
    <n v="1.7227079999999999"/>
    <n v="45731200"/>
  </r>
  <r>
    <x v="1719"/>
    <n v="2.7265630000000001"/>
    <n v="2.734375"/>
    <n v="2.6953130000000001"/>
    <x v="794"/>
    <n v="1.70302"/>
    <n v="60035200"/>
  </r>
  <r>
    <x v="1720"/>
    <n v="2.7109380000000001"/>
    <n v="2.71875"/>
    <n v="2.6640630000000001"/>
    <x v="795"/>
    <n v="1.690715"/>
    <n v="50860800"/>
  </r>
  <r>
    <x v="1721"/>
    <n v="2.6875"/>
    <n v="2.6953130000000001"/>
    <n v="2.6640630000000001"/>
    <x v="759"/>
    <n v="1.680871"/>
    <n v="30851200"/>
  </r>
  <r>
    <x v="1722"/>
    <n v="2.65625"/>
    <n v="2.6796880000000001"/>
    <n v="2.640625"/>
    <x v="796"/>
    <n v="1.6759489999999999"/>
    <n v="72646400"/>
  </r>
  <r>
    <x v="1723"/>
    <n v="2.65625"/>
    <n v="2.7109380000000001"/>
    <n v="2.6484380000000001"/>
    <x v="794"/>
    <n v="1.70302"/>
    <n v="71529600"/>
  </r>
  <r>
    <x v="1724"/>
    <n v="2.71875"/>
    <n v="2.7890630000000001"/>
    <n v="2.7109380000000001"/>
    <x v="786"/>
    <n v="1.75224"/>
    <n v="87440000"/>
  </r>
  <r>
    <x v="1725"/>
    <n v="2.78125"/>
    <n v="2.8085939999999998"/>
    <n v="2.71875"/>
    <x v="792"/>
    <n v="1.717786"/>
    <n v="58748800"/>
  </r>
  <r>
    <x v="1726"/>
    <n v="2.7265630000000001"/>
    <n v="2.7578130000000001"/>
    <n v="2.6953130000000001"/>
    <x v="788"/>
    <n v="1.715325"/>
    <n v="43977600"/>
  </r>
  <r>
    <x v="1727"/>
    <n v="2.7265630000000001"/>
    <n v="2.7890630000000001"/>
    <n v="2.6953130000000001"/>
    <x v="797"/>
    <n v="1.7547010000000001"/>
    <n v="58348800"/>
  </r>
  <r>
    <x v="1728"/>
    <n v="2.78125"/>
    <n v="2.8515630000000001"/>
    <n v="2.7734380000000001"/>
    <x v="762"/>
    <n v="1.767007"/>
    <n v="85129600"/>
  </r>
  <r>
    <x v="1729"/>
    <n v="2.796875"/>
    <n v="2.8828130000000001"/>
    <n v="2.7578130000000001"/>
    <x v="798"/>
    <n v="1.796538"/>
    <n v="83696000"/>
  </r>
  <r>
    <x v="1730"/>
    <n v="2.8828130000000001"/>
    <n v="2.9375"/>
    <n v="2.828125"/>
    <x v="798"/>
    <n v="1.796538"/>
    <n v="121264000"/>
  </r>
  <r>
    <x v="1731"/>
    <n v="2.734375"/>
    <n v="2.84375"/>
    <n v="2.71875"/>
    <x v="762"/>
    <n v="1.767007"/>
    <n v="181958400"/>
  </r>
  <r>
    <x v="1732"/>
    <n v="2.796875"/>
    <n v="2.8046880000000001"/>
    <n v="2.7578130000000001"/>
    <x v="799"/>
    <n v="1.7571619999999999"/>
    <n v="50611200"/>
  </r>
  <r>
    <x v="1733"/>
    <n v="2.78125"/>
    <n v="2.7890630000000001"/>
    <n v="2.7578130000000001"/>
    <x v="800"/>
    <n v="1.739935"/>
    <n v="52960000"/>
  </r>
  <r>
    <x v="1734"/>
    <n v="2.765625"/>
    <n v="2.78125"/>
    <n v="2.7421880000000001"/>
    <x v="800"/>
    <n v="1.739935"/>
    <n v="47968000"/>
  </r>
  <r>
    <x v="1735"/>
    <n v="2.7421880000000001"/>
    <n v="2.8125"/>
    <n v="2.7109380000000001"/>
    <x v="801"/>
    <n v="1.762084"/>
    <n v="73363200"/>
  </r>
  <r>
    <x v="1736"/>
    <n v="2.8046880000000001"/>
    <n v="2.8203130000000001"/>
    <n v="2.7734380000000001"/>
    <x v="802"/>
    <n v="1.7596229999999999"/>
    <n v="49088000"/>
  </r>
  <r>
    <x v="1737"/>
    <n v="2.7890630000000001"/>
    <n v="2.8203130000000001"/>
    <n v="2.7421880000000001"/>
    <x v="765"/>
    <n v="1.7423960000000001"/>
    <n v="49609600"/>
  </r>
  <r>
    <x v="1738"/>
    <n v="2.765625"/>
    <n v="2.8125"/>
    <n v="2.734375"/>
    <x v="764"/>
    <n v="1.7325520000000001"/>
    <n v="42345600"/>
  </r>
  <r>
    <x v="1739"/>
    <n v="2.734375"/>
    <n v="2.7421880000000001"/>
    <n v="2.671875"/>
    <x v="803"/>
    <n v="1.6980980000000001"/>
    <n v="64192000"/>
  </r>
  <r>
    <x v="1740"/>
    <n v="2.6953130000000001"/>
    <n v="2.7226560000000002"/>
    <n v="2.6484380000000001"/>
    <x v="789"/>
    <n v="1.7128639999999999"/>
    <n v="77030400"/>
  </r>
  <r>
    <x v="1741"/>
    <n v="2.734375"/>
    <n v="2.75"/>
    <n v="2.6796880000000001"/>
    <x v="794"/>
    <n v="1.70302"/>
    <n v="39424000"/>
  </r>
  <r>
    <x v="1742"/>
    <n v="2.6953130000000001"/>
    <n v="2.75"/>
    <n v="2.671875"/>
    <x v="793"/>
    <n v="1.7227079999999999"/>
    <n v="42854400"/>
  </r>
  <r>
    <x v="1743"/>
    <n v="2.7304689999999998"/>
    <n v="2.796875"/>
    <n v="2.7265630000000001"/>
    <x v="786"/>
    <n v="1.75224"/>
    <n v="70371200"/>
  </r>
  <r>
    <x v="1744"/>
    <n v="2.796875"/>
    <n v="2.8203130000000001"/>
    <n v="2.75"/>
    <x v="800"/>
    <n v="1.739935"/>
    <n v="71728000"/>
  </r>
  <r>
    <x v="1745"/>
    <n v="2.7421880000000001"/>
    <n v="2.7421880000000001"/>
    <n v="2.640625"/>
    <x v="686"/>
    <n v="1.6734880000000001"/>
    <n v="124214400"/>
  </r>
  <r>
    <x v="1746"/>
    <n v="2.6484380000000001"/>
    <n v="2.796875"/>
    <n v="2.5703130000000001"/>
    <x v="786"/>
    <n v="1.75224"/>
    <n v="177216000"/>
  </r>
  <r>
    <x v="1747"/>
    <n v="2.765625"/>
    <n v="2.78125"/>
    <n v="2.65625"/>
    <x v="804"/>
    <n v="1.6882539999999999"/>
    <n v="92665600"/>
  </r>
  <r>
    <x v="1748"/>
    <n v="2.7109380000000001"/>
    <n v="2.7265630000000001"/>
    <n v="2.609375"/>
    <x v="757"/>
    <n v="1.651338"/>
    <n v="64550400"/>
  </r>
  <r>
    <x v="1749"/>
    <n v="2.640625"/>
    <n v="2.6953130000000001"/>
    <n v="2.625"/>
    <x v="652"/>
    <n v="1.6833320000000001"/>
    <n v="39193600"/>
  </r>
  <r>
    <x v="1750"/>
    <n v="2.6953130000000001"/>
    <n v="2.703125"/>
    <n v="2.6484380000000001"/>
    <x v="805"/>
    <n v="1.67841"/>
    <n v="31635200"/>
  </r>
  <r>
    <x v="1751"/>
    <n v="2.6640630000000001"/>
    <n v="2.6640630000000001"/>
    <n v="2.6015630000000001"/>
    <x v="806"/>
    <n v="1.6464160000000001"/>
    <n v="34752000"/>
  </r>
  <r>
    <x v="1752"/>
    <n v="2.5898439999999998"/>
    <n v="2.6171880000000001"/>
    <n v="2.4921880000000001"/>
    <x v="807"/>
    <n v="1.577507"/>
    <n v="91180800"/>
  </r>
  <r>
    <x v="1753"/>
    <n v="2.53125"/>
    <n v="2.5390630000000001"/>
    <n v="2.4140630000000001"/>
    <x v="752"/>
    <n v="1.579969"/>
    <n v="121913600"/>
  </r>
  <r>
    <x v="1754"/>
    <n v="2.5390630000000001"/>
    <n v="2.5859380000000001"/>
    <n v="2.46875"/>
    <x v="808"/>
    <n v="1.60704"/>
    <n v="138553600"/>
  </r>
  <r>
    <x v="1755"/>
    <n v="2.5585939999999998"/>
    <n v="2.5625"/>
    <n v="2.484375"/>
    <x v="809"/>
    <n v="1.570125"/>
    <n v="97094400"/>
  </r>
  <r>
    <x v="1756"/>
    <n v="2.4921880000000001"/>
    <n v="2.53125"/>
    <n v="2.3984380000000001"/>
    <x v="670"/>
    <n v="1.511061"/>
    <n v="76256000"/>
  </r>
  <r>
    <x v="1757"/>
    <n v="2.4375"/>
    <n v="2.515625"/>
    <n v="2.3984380000000001"/>
    <x v="810"/>
    <n v="1.5652029999999999"/>
    <n v="105974400"/>
  </r>
  <r>
    <x v="1758"/>
    <n v="2.46875"/>
    <n v="2.625"/>
    <n v="2.4609380000000001"/>
    <x v="757"/>
    <n v="1.651338"/>
    <n v="77548800"/>
  </r>
  <r>
    <x v="1759"/>
    <n v="2.578125"/>
    <n v="2.65625"/>
    <n v="2.578125"/>
    <x v="811"/>
    <n v="1.6611830000000001"/>
    <n v="60806400"/>
  </r>
  <r>
    <x v="1760"/>
    <n v="2.6328130000000001"/>
    <n v="2.65625"/>
    <n v="2.59375"/>
    <x v="755"/>
    <n v="1.6414949999999999"/>
    <n v="29833600"/>
  </r>
  <r>
    <x v="1761"/>
    <n v="2.6171880000000001"/>
    <n v="2.6171880000000001"/>
    <n v="2.5390630000000001"/>
    <x v="812"/>
    <n v="1.604579"/>
    <n v="26432000"/>
  </r>
  <r>
    <x v="1762"/>
    <n v="2.5546880000000001"/>
    <n v="2.6484380000000001"/>
    <n v="2.5390630000000001"/>
    <x v="813"/>
    <n v="1.666104"/>
    <n v="38380800"/>
  </r>
  <r>
    <x v="1763"/>
    <n v="2.6484380000000001"/>
    <n v="2.671875"/>
    <n v="2.609375"/>
    <x v="651"/>
    <n v="1.668566"/>
    <n v="42352000"/>
  </r>
  <r>
    <x v="1764"/>
    <n v="2.6484380000000001"/>
    <n v="2.6484380000000001"/>
    <n v="2.5546880000000001"/>
    <x v="814"/>
    <n v="1.6488780000000001"/>
    <n v="56659200"/>
  </r>
  <r>
    <x v="1765"/>
    <n v="2.609375"/>
    <n v="2.65625"/>
    <n v="2.578125"/>
    <x v="815"/>
    <n v="1.6291899999999999"/>
    <n v="35724800"/>
  </r>
  <r>
    <x v="1766"/>
    <n v="2.5820310000000002"/>
    <n v="2.640625"/>
    <n v="2.5625"/>
    <x v="806"/>
    <n v="1.6464160000000001"/>
    <n v="48022400"/>
  </r>
  <r>
    <x v="1767"/>
    <n v="2.625"/>
    <n v="2.65625"/>
    <n v="2.6171880000000001"/>
    <x v="685"/>
    <n v="1.6587229999999999"/>
    <n v="41312000"/>
  </r>
  <r>
    <x v="1768"/>
    <n v="2.640625"/>
    <n v="2.6796880000000001"/>
    <n v="2.609375"/>
    <x v="686"/>
    <n v="1.6734880000000001"/>
    <n v="26592000"/>
  </r>
  <r>
    <x v="1769"/>
    <n v="2.6640630000000001"/>
    <n v="2.7421880000000001"/>
    <n v="2.65625"/>
    <x v="794"/>
    <n v="1.70302"/>
    <n v="57779200"/>
  </r>
  <r>
    <x v="1770"/>
    <n v="2.6875"/>
    <n v="2.7890630000000001"/>
    <n v="2.6640630000000001"/>
    <x v="786"/>
    <n v="1.75224"/>
    <n v="73580800"/>
  </r>
  <r>
    <x v="1771"/>
    <n v="2.7890630000000001"/>
    <n v="2.7890630000000001"/>
    <n v="2.71875"/>
    <x v="816"/>
    <n v="1.725168"/>
    <n v="35347200"/>
  </r>
  <r>
    <x v="1772"/>
    <n v="2.7578130000000001"/>
    <n v="2.7734380000000001"/>
    <n v="2.71875"/>
    <x v="791"/>
    <n v="1.72763"/>
    <n v="36336000"/>
  </r>
  <r>
    <x v="1773"/>
    <n v="2.7109380000000001"/>
    <n v="2.734375"/>
    <n v="2.6640630000000001"/>
    <x v="759"/>
    <n v="1.680871"/>
    <n v="39644800"/>
  </r>
  <r>
    <x v="1774"/>
    <n v="2.6796880000000001"/>
    <n v="2.7109380000000001"/>
    <n v="2.65625"/>
    <x v="805"/>
    <n v="1.67841"/>
    <n v="34406400"/>
  </r>
  <r>
    <x v="1775"/>
    <n v="2.6796880000000001"/>
    <n v="2.6796880000000001"/>
    <n v="2.625"/>
    <x v="685"/>
    <n v="1.6587229999999999"/>
    <n v="45404800"/>
  </r>
  <r>
    <x v="1776"/>
    <n v="2.6015630000000001"/>
    <n v="2.625"/>
    <n v="2.578125"/>
    <x v="755"/>
    <n v="1.6414949999999999"/>
    <n v="34083200"/>
  </r>
  <r>
    <x v="1777"/>
    <n v="2.609375"/>
    <n v="2.65625"/>
    <n v="2.59375"/>
    <x v="817"/>
    <n v="1.6365719999999999"/>
    <n v="34409600"/>
  </r>
  <r>
    <x v="1778"/>
    <n v="2.6015630000000001"/>
    <n v="2.7109380000000001"/>
    <n v="2.59375"/>
    <x v="803"/>
    <n v="1.6980980000000001"/>
    <n v="50576000"/>
  </r>
  <r>
    <x v="1779"/>
    <n v="2.703125"/>
    <n v="2.7578130000000001"/>
    <n v="2.6992189999999998"/>
    <x v="818"/>
    <n v="1.7202470000000001"/>
    <n v="43833600"/>
  </r>
  <r>
    <x v="1780"/>
    <n v="2.75"/>
    <n v="2.7578130000000001"/>
    <n v="2.6875"/>
    <x v="819"/>
    <n v="1.705481"/>
    <n v="28380800"/>
  </r>
  <r>
    <x v="1781"/>
    <n v="2.7109380000000001"/>
    <n v="2.765625"/>
    <n v="2.7109380000000001"/>
    <x v="789"/>
    <n v="1.7128639999999999"/>
    <n v="48262400"/>
  </r>
  <r>
    <x v="1782"/>
    <n v="2.765625"/>
    <n v="2.8515630000000001"/>
    <n v="2.7265630000000001"/>
    <x v="820"/>
    <n v="1.7916160000000001"/>
    <n v="140777600"/>
  </r>
  <r>
    <x v="1783"/>
    <n v="2.8515630000000001"/>
    <n v="2.9453130000000001"/>
    <n v="2.8359380000000001"/>
    <x v="785"/>
    <n v="1.8211489999999999"/>
    <n v="179660800"/>
  </r>
  <r>
    <x v="1784"/>
    <n v="2.890625"/>
    <n v="2.9609380000000001"/>
    <n v="2.890625"/>
    <x v="821"/>
    <n v="1.8309930000000001"/>
    <n v="100412800"/>
  </r>
  <r>
    <x v="1785"/>
    <n v="2.8671880000000001"/>
    <n v="2.875"/>
    <n v="2.8046880000000001"/>
    <x v="762"/>
    <n v="1.767007"/>
    <n v="73251200"/>
  </r>
  <r>
    <x v="1786"/>
    <n v="2.7734380000000001"/>
    <n v="2.8828130000000001"/>
    <n v="2.75"/>
    <x v="778"/>
    <n v="1.801461"/>
    <n v="61187200"/>
  </r>
  <r>
    <x v="1787"/>
    <n v="2.8671880000000001"/>
    <n v="2.90625"/>
    <n v="2.7890630000000001"/>
    <x v="762"/>
    <n v="1.767007"/>
    <n v="55699200"/>
  </r>
  <r>
    <x v="1788"/>
    <n v="2.8125"/>
    <n v="2.828125"/>
    <n v="2.7890630000000001"/>
    <x v="822"/>
    <n v="1.77685"/>
    <n v="39417600"/>
  </r>
  <r>
    <x v="1789"/>
    <n v="2.8125"/>
    <n v="2.8203130000000001"/>
    <n v="2.7578130000000001"/>
    <x v="786"/>
    <n v="1.75224"/>
    <n v="40185600"/>
  </r>
  <r>
    <x v="1790"/>
    <n v="2.7734380000000001"/>
    <n v="2.8515630000000001"/>
    <n v="2.765625"/>
    <x v="823"/>
    <n v="1.774389"/>
    <n v="48976000"/>
  </r>
  <r>
    <x v="1791"/>
    <n v="2.8203130000000001"/>
    <n v="2.8828130000000001"/>
    <n v="2.7734380000000001"/>
    <x v="824"/>
    <n v="1.749779"/>
    <n v="53337600"/>
  </r>
  <r>
    <x v="1792"/>
    <n v="2.78125"/>
    <n v="2.8203130000000001"/>
    <n v="2.7421880000000001"/>
    <x v="786"/>
    <n v="1.75224"/>
    <n v="38592000"/>
  </r>
  <r>
    <x v="1793"/>
    <n v="2.75"/>
    <n v="2.8085939999999998"/>
    <n v="2.6875"/>
    <x v="788"/>
    <n v="1.715325"/>
    <n v="109152000"/>
  </r>
  <r>
    <x v="1794"/>
    <n v="2.7265630000000001"/>
    <n v="2.7421880000000001"/>
    <n v="2.671875"/>
    <x v="789"/>
    <n v="1.7128639999999999"/>
    <n v="49600000"/>
  </r>
  <r>
    <x v="1795"/>
    <n v="2.71875"/>
    <n v="2.7265630000000001"/>
    <n v="2.65625"/>
    <x v="789"/>
    <n v="1.7128639999999999"/>
    <n v="45673600"/>
  </r>
  <r>
    <x v="1796"/>
    <n v="2.7109380000000001"/>
    <n v="2.734375"/>
    <n v="2.65625"/>
    <x v="825"/>
    <n v="1.7079420000000001"/>
    <n v="46009600"/>
  </r>
  <r>
    <x v="1797"/>
    <n v="2.7109380000000001"/>
    <n v="2.7109380000000001"/>
    <n v="2.6328130000000001"/>
    <x v="826"/>
    <n v="1.671027"/>
    <n v="92528000"/>
  </r>
  <r>
    <x v="1798"/>
    <n v="2.640625"/>
    <n v="2.65625"/>
    <n v="2.5898439999999998"/>
    <x v="676"/>
    <n v="1.6390340000000001"/>
    <n v="79872000"/>
  </r>
  <r>
    <x v="1799"/>
    <n v="2.59375"/>
    <n v="2.6015630000000001"/>
    <n v="2.5234380000000001"/>
    <x v="827"/>
    <n v="1.6021190000000001"/>
    <n v="89296000"/>
  </r>
  <r>
    <x v="1800"/>
    <n v="2.546875"/>
    <n v="2.578125"/>
    <n v="2.4921880000000001"/>
    <x v="748"/>
    <n v="1.5824309999999999"/>
    <n v="65376000"/>
  </r>
  <r>
    <x v="1801"/>
    <n v="2.515625"/>
    <n v="2.5859380000000001"/>
    <n v="2.5078130000000001"/>
    <x v="754"/>
    <n v="1.6242669999999999"/>
    <n v="58208000"/>
  </r>
  <r>
    <x v="1802"/>
    <n v="2.59375"/>
    <n v="2.6875"/>
    <n v="2.5859380000000001"/>
    <x v="828"/>
    <n v="1.6931750000000001"/>
    <n v="55372800"/>
  </r>
  <r>
    <x v="1803"/>
    <n v="2.6796880000000001"/>
    <n v="2.6796880000000001"/>
    <n v="2.625"/>
    <x v="652"/>
    <n v="1.6833320000000001"/>
    <n v="49660800"/>
  </r>
  <r>
    <x v="1804"/>
    <n v="2.65625"/>
    <n v="2.7109380000000001"/>
    <n v="2.65625"/>
    <x v="652"/>
    <n v="1.6833320000000001"/>
    <n v="46825600"/>
  </r>
  <r>
    <x v="1805"/>
    <n v="2.671875"/>
    <n v="2.71875"/>
    <n v="2.65625"/>
    <x v="829"/>
    <n v="1.6956359999999999"/>
    <n v="38096000"/>
  </r>
  <r>
    <x v="1806"/>
    <n v="2.7109380000000001"/>
    <n v="2.765625"/>
    <n v="2.703125"/>
    <x v="764"/>
    <n v="1.7325520000000001"/>
    <n v="49664000"/>
  </r>
  <r>
    <x v="1807"/>
    <n v="2.75"/>
    <n v="2.8125"/>
    <n v="2.734375"/>
    <x v="799"/>
    <n v="1.7571619999999999"/>
    <n v="51868800"/>
  </r>
  <r>
    <x v="1808"/>
    <n v="2.78125"/>
    <n v="2.8046880000000001"/>
    <n v="2.7109380000000001"/>
    <x v="792"/>
    <n v="1.717786"/>
    <n v="47244800"/>
  </r>
  <r>
    <x v="1809"/>
    <n v="2.7265630000000001"/>
    <n v="2.7421880000000001"/>
    <n v="2.703125"/>
    <x v="789"/>
    <n v="1.7128639999999999"/>
    <n v="31798400"/>
  </r>
  <r>
    <x v="1810"/>
    <n v="2.765625"/>
    <n v="2.8125"/>
    <n v="2.75"/>
    <x v="797"/>
    <n v="1.7547010000000001"/>
    <n v="69091200"/>
  </r>
  <r>
    <x v="1811"/>
    <n v="2.7578130000000001"/>
    <n v="2.7734380000000001"/>
    <n v="2.7265630000000001"/>
    <x v="791"/>
    <n v="1.72763"/>
    <n v="38220800"/>
  </r>
  <r>
    <x v="1812"/>
    <n v="2.734375"/>
    <n v="2.75"/>
    <n v="2.6796880000000001"/>
    <x v="803"/>
    <n v="1.6980980000000001"/>
    <n v="48272000"/>
  </r>
  <r>
    <x v="1813"/>
    <n v="2.6796880000000001"/>
    <n v="2.6875"/>
    <n v="2.640625"/>
    <x v="804"/>
    <n v="1.6882539999999999"/>
    <n v="43708800"/>
  </r>
  <r>
    <x v="1814"/>
    <n v="2.6875"/>
    <n v="2.7109380000000001"/>
    <n v="2.6484380000000001"/>
    <x v="652"/>
    <n v="1.6833320000000001"/>
    <n v="49116800"/>
  </r>
  <r>
    <x v="1815"/>
    <n v="2.6796880000000001"/>
    <n v="2.7070310000000002"/>
    <n v="2.6640630000000001"/>
    <x v="794"/>
    <n v="1.70302"/>
    <n v="27763200"/>
  </r>
  <r>
    <x v="1816"/>
    <n v="2.7109380000000001"/>
    <n v="2.7734380000000001"/>
    <n v="2.703125"/>
    <x v="765"/>
    <n v="1.7423960000000001"/>
    <n v="84185600"/>
  </r>
  <r>
    <x v="1817"/>
    <n v="2.8359380000000001"/>
    <n v="2.90625"/>
    <n v="2.796875"/>
    <x v="785"/>
    <n v="1.8211489999999999"/>
    <n v="181017600"/>
  </r>
  <r>
    <x v="1818"/>
    <n v="2.8828130000000001"/>
    <n v="2.9765630000000001"/>
    <n v="2.875"/>
    <x v="830"/>
    <n v="1.8531409999999999"/>
    <n v="150256000"/>
  </r>
  <r>
    <x v="1819"/>
    <n v="2.921875"/>
    <n v="2.9453130000000001"/>
    <n v="2.875"/>
    <x v="785"/>
    <n v="1.8211489999999999"/>
    <n v="75500800"/>
  </r>
  <r>
    <x v="1820"/>
    <n v="2.8828130000000001"/>
    <n v="2.9375"/>
    <n v="2.875"/>
    <x v="831"/>
    <n v="1.8137650000000001"/>
    <n v="64252800"/>
  </r>
  <r>
    <x v="1821"/>
    <n v="2.8671880000000001"/>
    <n v="2.875"/>
    <n v="2.8125"/>
    <x v="798"/>
    <n v="1.796538"/>
    <n v="36716800"/>
  </r>
  <r>
    <x v="1822"/>
    <n v="2.859375"/>
    <n v="2.9765630000000001"/>
    <n v="2.8515630000000001"/>
    <x v="832"/>
    <n v="1.875292"/>
    <n v="87484800"/>
  </r>
  <r>
    <x v="1823"/>
    <n v="2.96875"/>
    <n v="2.984375"/>
    <n v="2.90625"/>
    <x v="830"/>
    <n v="1.8531409999999999"/>
    <n v="95052800"/>
  </r>
  <r>
    <x v="1824"/>
    <n v="2.921875"/>
    <n v="2.9296880000000001"/>
    <n v="2.8671880000000001"/>
    <x v="833"/>
    <n v="1.82361"/>
    <n v="35136000"/>
  </r>
  <r>
    <x v="1825"/>
    <n v="2.90625"/>
    <n v="3.0625"/>
    <n v="2.8984380000000001"/>
    <x v="834"/>
    <n v="1.8949780000000001"/>
    <n v="173088000"/>
  </r>
  <r>
    <x v="1826"/>
    <n v="2.9921880000000001"/>
    <n v="3.046875"/>
    <n v="2.9765630000000001"/>
    <x v="835"/>
    <n v="1.885135"/>
    <n v="70710400"/>
  </r>
  <r>
    <x v="1827"/>
    <n v="2.9921880000000001"/>
    <n v="3"/>
    <n v="2.953125"/>
    <x v="836"/>
    <n v="1.8629849999999999"/>
    <n v="23936000"/>
  </r>
  <r>
    <x v="1828"/>
    <n v="2.9375"/>
    <n v="2.953125"/>
    <n v="2.921875"/>
    <x v="776"/>
    <n v="1.850681"/>
    <n v="32652800"/>
  </r>
  <r>
    <x v="1829"/>
    <n v="2.9453130000000001"/>
    <n v="2.9921880000000001"/>
    <n v="2.90625"/>
    <x v="774"/>
    <n v="1.835915"/>
    <n v="52761600"/>
  </r>
  <r>
    <x v="1830"/>
    <n v="2.90625"/>
    <n v="2.9140630000000001"/>
    <n v="2.8359380000000001"/>
    <x v="837"/>
    <n v="1.816227"/>
    <n v="48131200"/>
  </r>
  <r>
    <x v="1831"/>
    <n v="2.8984380000000001"/>
    <n v="2.90625"/>
    <n v="2.8359380000000001"/>
    <x v="820"/>
    <n v="1.7916160000000001"/>
    <n v="62480000"/>
  </r>
  <r>
    <x v="1832"/>
    <n v="2.8515630000000001"/>
    <n v="2.890625"/>
    <n v="2.796875"/>
    <x v="779"/>
    <n v="1.7940780000000001"/>
    <n v="56544000"/>
  </r>
  <r>
    <x v="1833"/>
    <n v="2.8671880000000001"/>
    <n v="2.890625"/>
    <n v="2.78125"/>
    <x v="802"/>
    <n v="1.7596229999999999"/>
    <n v="67542400"/>
  </r>
  <r>
    <x v="1834"/>
    <n v="2.84375"/>
    <n v="2.8828130000000001"/>
    <n v="2.8203130000000001"/>
    <x v="837"/>
    <n v="1.816227"/>
    <n v="40489600"/>
  </r>
  <r>
    <x v="1835"/>
    <n v="2.90625"/>
    <n v="2.90625"/>
    <n v="2.859375"/>
    <x v="785"/>
    <n v="1.8211489999999999"/>
    <n v="42345600"/>
  </r>
  <r>
    <x v="1836"/>
    <n v="2.8984380000000001"/>
    <n v="2.9140630000000001"/>
    <n v="2.7890630000000001"/>
    <x v="798"/>
    <n v="1.796538"/>
    <n v="66966400"/>
  </r>
  <r>
    <x v="1837"/>
    <n v="2.859375"/>
    <n v="2.8671880000000001"/>
    <n v="2.828125"/>
    <x v="838"/>
    <n v="1.789156"/>
    <n v="28083200"/>
  </r>
  <r>
    <x v="1838"/>
    <n v="2.828125"/>
    <n v="2.8515630000000001"/>
    <n v="2.71875"/>
    <x v="793"/>
    <n v="1.7227079999999999"/>
    <n v="75910400"/>
  </r>
  <r>
    <x v="1839"/>
    <n v="2.7734380000000001"/>
    <n v="2.7890630000000001"/>
    <n v="2.71875"/>
    <x v="763"/>
    <n v="1.7448570000000001"/>
    <n v="68102400"/>
  </r>
  <r>
    <x v="1840"/>
    <n v="2.7890630000000001"/>
    <n v="2.8046880000000001"/>
    <n v="2.7265630000000001"/>
    <x v="764"/>
    <n v="1.7325520000000001"/>
    <n v="41062400"/>
  </r>
  <r>
    <x v="1841"/>
    <n v="2.75"/>
    <n v="2.7890630000000001"/>
    <n v="2.7421880000000001"/>
    <x v="763"/>
    <n v="1.7448570000000001"/>
    <n v="33129600"/>
  </r>
  <r>
    <x v="1842"/>
    <n v="2.7578130000000001"/>
    <n v="2.796875"/>
    <n v="2.7265630000000001"/>
    <x v="765"/>
    <n v="1.7423960000000001"/>
    <n v="35782400"/>
  </r>
  <r>
    <x v="1843"/>
    <n v="2.765625"/>
    <n v="2.7890630000000001"/>
    <n v="2.7109380000000001"/>
    <x v="765"/>
    <n v="1.7423960000000001"/>
    <n v="45484800"/>
  </r>
  <r>
    <x v="1844"/>
    <n v="2.7734380000000001"/>
    <n v="2.8203130000000001"/>
    <n v="2.765625"/>
    <x v="822"/>
    <n v="1.77685"/>
    <n v="52224000"/>
  </r>
  <r>
    <x v="1845"/>
    <n v="2.8203130000000001"/>
    <n v="2.8671880000000001"/>
    <n v="2.765625"/>
    <x v="786"/>
    <n v="1.75224"/>
    <n v="42361600"/>
  </r>
  <r>
    <x v="1846"/>
    <n v="2.7890630000000001"/>
    <n v="2.8203130000000001"/>
    <n v="2.7265630000000001"/>
    <x v="764"/>
    <n v="1.7325520000000001"/>
    <n v="56422400"/>
  </r>
  <r>
    <x v="1847"/>
    <n v="2.7578130000000001"/>
    <n v="2.765625"/>
    <n v="2.703125"/>
    <x v="788"/>
    <n v="1.715325"/>
    <n v="57907200"/>
  </r>
  <r>
    <x v="1848"/>
    <n v="2.7265630000000001"/>
    <n v="2.734375"/>
    <n v="2.703125"/>
    <x v="792"/>
    <n v="1.717786"/>
    <n v="25404800"/>
  </r>
  <r>
    <x v="1849"/>
    <n v="2.7109380000000001"/>
    <n v="2.7421880000000001"/>
    <n v="2.6640630000000001"/>
    <x v="828"/>
    <n v="1.6931750000000001"/>
    <n v="47721600"/>
  </r>
  <r>
    <x v="1850"/>
    <n v="2.5664060000000002"/>
    <n v="2.6328130000000001"/>
    <n v="2.5390630000000001"/>
    <x v="755"/>
    <n v="1.6414949999999999"/>
    <n v="182569600"/>
  </r>
  <r>
    <x v="1851"/>
    <n v="2.625"/>
    <n v="2.671875"/>
    <n v="2.625"/>
    <x v="826"/>
    <n v="1.671027"/>
    <n v="70105600"/>
  </r>
  <r>
    <x v="1852"/>
    <n v="2.65625"/>
    <n v="2.65625"/>
    <n v="2.609375"/>
    <x v="813"/>
    <n v="1.666104"/>
    <n v="50000000"/>
  </r>
  <r>
    <x v="1853"/>
    <n v="2.6484380000000001"/>
    <n v="2.6484380000000001"/>
    <n v="2.609375"/>
    <x v="814"/>
    <n v="1.6488780000000001"/>
    <n v="26540800"/>
  </r>
  <r>
    <x v="1854"/>
    <n v="2.625"/>
    <n v="2.625"/>
    <n v="2.578125"/>
    <x v="815"/>
    <n v="1.6291899999999999"/>
    <n v="36476800"/>
  </r>
  <r>
    <x v="1855"/>
    <n v="2.59375"/>
    <n v="2.671875"/>
    <n v="2.578125"/>
    <x v="685"/>
    <n v="1.6587229999999999"/>
    <n v="43491200"/>
  </r>
  <r>
    <x v="1856"/>
    <n v="2.6328130000000001"/>
    <n v="2.6328130000000001"/>
    <n v="2.5859380000000001"/>
    <x v="650"/>
    <n v="1.6439550000000001"/>
    <n v="34432000"/>
  </r>
  <r>
    <x v="1857"/>
    <n v="2.6015630000000001"/>
    <n v="2.6015630000000001"/>
    <n v="2.5234380000000001"/>
    <x v="749"/>
    <n v="1.5971960000000001"/>
    <n v="86217600"/>
  </r>
  <r>
    <x v="1858"/>
    <n v="2.484375"/>
    <n v="2.5078130000000001"/>
    <n v="2.4375"/>
    <x v="694"/>
    <n v="1.550438"/>
    <n v="122435200"/>
  </r>
  <r>
    <x v="1859"/>
    <n v="2.4765630000000001"/>
    <n v="2.515625"/>
    <n v="2.4375"/>
    <x v="662"/>
    <n v="1.584891"/>
    <n v="74822400"/>
  </r>
  <r>
    <x v="1860"/>
    <n v="2.453125"/>
    <n v="2.46875"/>
    <n v="2.3984380000000001"/>
    <x v="668"/>
    <n v="1.5553589999999999"/>
    <n v="178963200"/>
  </r>
  <r>
    <x v="1861"/>
    <n v="2.5234380000000001"/>
    <n v="2.5546880000000001"/>
    <n v="2.3984380000000001"/>
    <x v="839"/>
    <n v="1.528287"/>
    <n v="147584000"/>
  </r>
  <r>
    <x v="1862"/>
    <n v="2.40625"/>
    <n v="2.4453130000000001"/>
    <n v="2.3984380000000001"/>
    <x v="839"/>
    <n v="1.528287"/>
    <n v="92790400"/>
  </r>
  <r>
    <x v="1863"/>
    <n v="2.4453130000000001"/>
    <n v="2.4765630000000001"/>
    <n v="2.4296880000000001"/>
    <x v="840"/>
    <n v="1.540594"/>
    <n v="65801600"/>
  </r>
  <r>
    <x v="1864"/>
    <n v="2.453125"/>
    <n v="2.4609380000000001"/>
    <n v="2.359375"/>
    <x v="698"/>
    <n v="1.486451"/>
    <n v="112220800"/>
  </r>
  <r>
    <x v="1865"/>
    <n v="2.375"/>
    <n v="2.484375"/>
    <n v="2.3359380000000001"/>
    <x v="840"/>
    <n v="1.540594"/>
    <n v="113459200"/>
  </r>
  <r>
    <x v="1866"/>
    <n v="2.4375"/>
    <n v="2.5234380000000001"/>
    <n v="2.421875"/>
    <x v="668"/>
    <n v="1.5553589999999999"/>
    <n v="96534400"/>
  </r>
  <r>
    <x v="1867"/>
    <n v="2.28125"/>
    <n v="2.3203130000000001"/>
    <n v="2.25"/>
    <x v="731"/>
    <n v="1.4569190000000001"/>
    <n v="287936000"/>
  </r>
  <r>
    <x v="1868"/>
    <n v="2.3359380000000001"/>
    <n v="2.3671880000000001"/>
    <n v="2.2578130000000001"/>
    <x v="715"/>
    <n v="1.4323090000000001"/>
    <n v="148208000"/>
  </r>
  <r>
    <x v="1869"/>
    <n v="2.28125"/>
    <n v="2.2890630000000001"/>
    <n v="2.25"/>
    <x v="730"/>
    <n v="1.4372309999999999"/>
    <n v="85136000"/>
  </r>
  <r>
    <x v="1870"/>
    <n v="2.2890630000000001"/>
    <n v="2.3046880000000001"/>
    <n v="2.2421880000000001"/>
    <x v="730"/>
    <n v="1.4372309999999999"/>
    <n v="94416000"/>
  </r>
  <r>
    <x v="1871"/>
    <n v="2.296875"/>
    <n v="2.34375"/>
    <n v="2.2890630000000001"/>
    <x v="841"/>
    <n v="1.4716849999999999"/>
    <n v="67910400"/>
  </r>
  <r>
    <x v="1872"/>
    <n v="2.3359380000000001"/>
    <n v="2.3710939999999998"/>
    <n v="2.2734380000000001"/>
    <x v="842"/>
    <n v="1.442153"/>
    <n v="71760000"/>
  </r>
  <r>
    <x v="1873"/>
    <n v="2.2890630000000001"/>
    <n v="2.3125"/>
    <n v="2.2578130000000001"/>
    <x v="730"/>
    <n v="1.4372309999999999"/>
    <n v="70876800"/>
  </r>
  <r>
    <x v="1874"/>
    <n v="2.28125"/>
    <n v="2.2890630000000001"/>
    <n v="2.1992189999999998"/>
    <x v="729"/>
    <n v="1.3978550000000001"/>
    <n v="192028800"/>
  </r>
  <r>
    <x v="1875"/>
    <n v="2.2265630000000001"/>
    <n v="2.28125"/>
    <n v="2.2226560000000002"/>
    <x v="716"/>
    <n v="1.4249259999999999"/>
    <n v="95974400"/>
  </r>
  <r>
    <x v="1876"/>
    <n v="2.265625"/>
    <n v="2.328125"/>
    <n v="2.2578130000000001"/>
    <x v="731"/>
    <n v="1.4569190000000001"/>
    <n v="77366400"/>
  </r>
  <r>
    <x v="1877"/>
    <n v="2.3125"/>
    <n v="2.3671880000000001"/>
    <n v="2.28125"/>
    <x v="843"/>
    <n v="1.4815290000000001"/>
    <n v="61900800"/>
  </r>
  <r>
    <x v="1878"/>
    <n v="2.3671880000000001"/>
    <n v="2.4453130000000001"/>
    <n v="2.359375"/>
    <x v="708"/>
    <n v="1.5307489999999999"/>
    <n v="78451200"/>
  </r>
  <r>
    <x v="1879"/>
    <n v="2.4375"/>
    <n v="2.453125"/>
    <n v="2.375"/>
    <x v="844"/>
    <n v="1.520905"/>
    <n v="54272000"/>
  </r>
  <r>
    <x v="1880"/>
    <n v="2.4296880000000001"/>
    <n v="2.4765630000000001"/>
    <n v="2.390625"/>
    <x v="844"/>
    <n v="1.520905"/>
    <n v="66012800"/>
  </r>
  <r>
    <x v="1881"/>
    <n v="2.4140630000000001"/>
    <n v="2.4335939999999998"/>
    <n v="2.3046880000000001"/>
    <x v="700"/>
    <n v="1.4618409999999999"/>
    <n v="114742400"/>
  </r>
  <r>
    <x v="1882"/>
    <n v="2.296875"/>
    <n v="2.3984380000000001"/>
    <n v="2.2890630000000001"/>
    <x v="845"/>
    <n v="1.501217"/>
    <n v="73683200"/>
  </r>
  <r>
    <x v="1883"/>
    <n v="2.359375"/>
    <n v="2.4453130000000001"/>
    <n v="2.359375"/>
    <x v="709"/>
    <n v="1.5159830000000001"/>
    <n v="59472000"/>
  </r>
  <r>
    <x v="1884"/>
    <n v="2.390625"/>
    <n v="2.40625"/>
    <n v="2.3671880000000001"/>
    <x v="846"/>
    <n v="1.4938340000000001"/>
    <n v="39417600"/>
  </r>
  <r>
    <x v="1885"/>
    <n v="2.34375"/>
    <n v="2.375"/>
    <n v="2.2773439999999998"/>
    <x v="700"/>
    <n v="1.4618409999999999"/>
    <n v="68800000"/>
  </r>
  <r>
    <x v="1886"/>
    <n v="2.296875"/>
    <n v="2.3046880000000001"/>
    <n v="2.234375"/>
    <x v="720"/>
    <n v="1.4200029999999999"/>
    <n v="136256000"/>
  </r>
  <r>
    <x v="1887"/>
    <n v="2.2578130000000001"/>
    <n v="2.265625"/>
    <n v="2.2265630000000001"/>
    <x v="847"/>
    <n v="1.415082"/>
    <n v="67763200"/>
  </r>
  <r>
    <x v="1888"/>
    <n v="2.265625"/>
    <n v="2.2890630000000001"/>
    <n v="2.2421880000000001"/>
    <x v="848"/>
    <n v="1.4298470000000001"/>
    <n v="54012800"/>
  </r>
  <r>
    <x v="1889"/>
    <n v="2.3046880000000001"/>
    <n v="2.359375"/>
    <n v="2.296875"/>
    <x v="849"/>
    <n v="1.479068"/>
    <n v="93020800"/>
  </r>
  <r>
    <x v="1890"/>
    <n v="2.3515630000000001"/>
    <n v="2.4140630000000001"/>
    <n v="2.34375"/>
    <x v="670"/>
    <n v="1.511061"/>
    <n v="86035200"/>
  </r>
  <r>
    <x v="1891"/>
    <n v="2.4140630000000001"/>
    <n v="2.453125"/>
    <n v="2.3789060000000002"/>
    <x v="745"/>
    <n v="1.508599"/>
    <n v="55497600"/>
  </r>
  <r>
    <x v="1892"/>
    <n v="2.390625"/>
    <n v="2.3984380000000001"/>
    <n v="2.3515630000000001"/>
    <x v="714"/>
    <n v="1.4913730000000001"/>
    <n v="26800000"/>
  </r>
  <r>
    <x v="1893"/>
    <n v="2.3671880000000001"/>
    <n v="2.3828130000000001"/>
    <n v="2.3203130000000001"/>
    <x v="841"/>
    <n v="1.4716849999999999"/>
    <n v="38659200"/>
  </r>
  <r>
    <x v="1894"/>
    <n v="2.3125"/>
    <n v="2.3359380000000001"/>
    <n v="2.2890630000000001"/>
    <x v="743"/>
    <n v="1.4667619999999999"/>
    <n v="54777600"/>
  </r>
  <r>
    <x v="1895"/>
    <n v="2.34375"/>
    <n v="2.390625"/>
    <n v="2.328125"/>
    <x v="845"/>
    <n v="1.501217"/>
    <n v="29856000"/>
  </r>
  <r>
    <x v="1896"/>
    <n v="2.40625"/>
    <n v="2.4453130000000001"/>
    <n v="2.3828130000000001"/>
    <x v="689"/>
    <n v="1.535671"/>
    <n v="56540800"/>
  </r>
  <r>
    <x v="1897"/>
    <n v="2.453125"/>
    <n v="2.453125"/>
    <n v="2.3828130000000001"/>
    <x v="850"/>
    <n v="1.5036780000000001"/>
    <n v="33481600"/>
  </r>
  <r>
    <x v="1898"/>
    <n v="2.375"/>
    <n v="2.3828130000000001"/>
    <n v="2.3203130000000001"/>
    <x v="843"/>
    <n v="1.4815290000000001"/>
    <n v="57756800"/>
  </r>
  <r>
    <x v="1899"/>
    <n v="2.3671880000000001"/>
    <n v="2.3984380000000001"/>
    <n v="2.3242189999999998"/>
    <x v="851"/>
    <n v="1.506138"/>
    <n v="60428800"/>
  </r>
  <r>
    <x v="1900"/>
    <n v="2.3984380000000001"/>
    <n v="2.4140630000000001"/>
    <n v="2.3671880000000001"/>
    <x v="644"/>
    <n v="1.4962949999999999"/>
    <n v="25641600"/>
  </r>
  <r>
    <x v="1901"/>
    <n v="2.359375"/>
    <n v="2.390625"/>
    <n v="2.3515630000000001"/>
    <x v="644"/>
    <n v="1.4962949999999999"/>
    <n v="25286400"/>
  </r>
  <r>
    <x v="1902"/>
    <n v="2.3828130000000001"/>
    <n v="2.4296880000000001"/>
    <n v="2.34375"/>
    <x v="852"/>
    <n v="1.488912"/>
    <n v="34691200"/>
  </r>
  <r>
    <x v="1903"/>
    <n v="2.359375"/>
    <n v="2.4179689999999998"/>
    <n v="2.3359380000000001"/>
    <x v="644"/>
    <n v="1.4962949999999999"/>
    <n v="57846400"/>
  </r>
  <r>
    <x v="1904"/>
    <n v="2.375"/>
    <n v="2.4375"/>
    <n v="2.3515630000000001"/>
    <x v="844"/>
    <n v="1.520905"/>
    <n v="72051200"/>
  </r>
  <r>
    <x v="1905"/>
    <n v="2.4140630000000001"/>
    <n v="2.4765630000000001"/>
    <n v="2.3984380000000001"/>
    <x v="694"/>
    <n v="1.550438"/>
    <n v="72214400"/>
  </r>
  <r>
    <x v="1906"/>
    <n v="2.453125"/>
    <n v="2.5234380000000001"/>
    <n v="2.453125"/>
    <x v="647"/>
    <n v="1.5750470000000001"/>
    <n v="91481600"/>
  </r>
  <r>
    <x v="1907"/>
    <n v="2.5546880000000001"/>
    <n v="2.578125"/>
    <n v="2.5390630000000001"/>
    <x v="853"/>
    <n v="1.619346"/>
    <n v="73472000"/>
  </r>
  <r>
    <x v="1908"/>
    <n v="2.5703130000000001"/>
    <n v="2.6328130000000001"/>
    <n v="2.5703130000000001"/>
    <x v="854"/>
    <n v="1.653799"/>
    <n v="84012800"/>
  </r>
  <r>
    <x v="1909"/>
    <n v="2.6171880000000001"/>
    <n v="2.625"/>
    <n v="2.5234380000000001"/>
    <x v="663"/>
    <n v="1.6341110000000001"/>
    <n v="87529600"/>
  </r>
  <r>
    <x v="1910"/>
    <n v="2.5859380000000001"/>
    <n v="2.6015630000000001"/>
    <n v="2.5703130000000001"/>
    <x v="754"/>
    <n v="1.6242669999999999"/>
    <n v="38400000"/>
  </r>
  <r>
    <x v="1911"/>
    <n v="2.578125"/>
    <n v="2.6015630000000001"/>
    <n v="2.5625"/>
    <x v="677"/>
    <n v="1.6144240000000001"/>
    <n v="46048000"/>
  </r>
  <r>
    <x v="1912"/>
    <n v="2.578125"/>
    <n v="2.625"/>
    <n v="2.578125"/>
    <x v="855"/>
    <n v="1.6267290000000001"/>
    <n v="40505600"/>
  </r>
  <r>
    <x v="1913"/>
    <n v="2.5859380000000001"/>
    <n v="2.6484380000000001"/>
    <n v="2.578125"/>
    <x v="676"/>
    <n v="1.6390340000000001"/>
    <n v="86931200"/>
  </r>
  <r>
    <x v="1914"/>
    <n v="2.6015630000000001"/>
    <n v="2.671875"/>
    <n v="2.59375"/>
    <x v="826"/>
    <n v="1.671027"/>
    <n v="77321600"/>
  </r>
  <r>
    <x v="1915"/>
    <n v="2.65625"/>
    <n v="2.6796880000000001"/>
    <n v="2.6171880000000001"/>
    <x v="856"/>
    <n v="1.656261"/>
    <n v="41596800"/>
  </r>
  <r>
    <x v="1916"/>
    <n v="2.6328130000000001"/>
    <n v="2.6484380000000001"/>
    <n v="2.5703130000000001"/>
    <x v="758"/>
    <n v="1.6636439999999999"/>
    <n v="38086400"/>
  </r>
  <r>
    <x v="1917"/>
    <n v="2.640625"/>
    <n v="2.6484380000000001"/>
    <n v="2.5703130000000001"/>
    <x v="854"/>
    <n v="1.653799"/>
    <n v="36457600"/>
  </r>
  <r>
    <x v="1918"/>
    <n v="2.6328130000000001"/>
    <n v="2.6640630000000001"/>
    <n v="2.5703130000000001"/>
    <x v="685"/>
    <n v="1.6587229999999999"/>
    <n v="79296000"/>
  </r>
  <r>
    <x v="1919"/>
    <n v="2.6171880000000001"/>
    <n v="2.6328130000000001"/>
    <n v="2.5390630000000001"/>
    <x v="676"/>
    <n v="1.6390340000000001"/>
    <n v="62409600"/>
  </r>
  <r>
    <x v="1920"/>
    <n v="2.6171880000000001"/>
    <n v="2.625"/>
    <n v="2.5625"/>
    <x v="857"/>
    <n v="1.6168849999999999"/>
    <n v="63257600"/>
  </r>
  <r>
    <x v="1921"/>
    <n v="2.5703130000000001"/>
    <n v="2.59375"/>
    <n v="2.5078130000000001"/>
    <x v="682"/>
    <n v="1.5898129999999999"/>
    <n v="126425600"/>
  </r>
  <r>
    <x v="1922"/>
    <n v="2.53125"/>
    <n v="2.6015630000000001"/>
    <n v="2.5234380000000001"/>
    <x v="663"/>
    <n v="1.6341110000000001"/>
    <n v="67750400"/>
  </r>
  <r>
    <x v="1923"/>
    <n v="2.5625"/>
    <n v="2.625"/>
    <n v="2.484375"/>
    <x v="752"/>
    <n v="1.579969"/>
    <n v="91392000"/>
  </r>
  <r>
    <x v="1924"/>
    <n v="2.515625"/>
    <n v="2.5546880000000001"/>
    <n v="2.4765630000000001"/>
    <x v="858"/>
    <n v="1.594735"/>
    <n v="81590400"/>
  </r>
  <r>
    <x v="1925"/>
    <n v="2.4609380000000001"/>
    <n v="2.5"/>
    <n v="2.4375"/>
    <x v="810"/>
    <n v="1.5652029999999999"/>
    <n v="127142400"/>
  </r>
  <r>
    <x v="1926"/>
    <n v="2.4765630000000001"/>
    <n v="2.5234380000000001"/>
    <n v="2.4765630000000001"/>
    <x v="748"/>
    <n v="1.5824309999999999"/>
    <n v="47625600"/>
  </r>
  <r>
    <x v="1927"/>
    <n v="2.515625"/>
    <n v="2.5390630000000001"/>
    <n v="2.46875"/>
    <x v="662"/>
    <n v="1.584891"/>
    <n v="48553600"/>
  </r>
  <r>
    <x v="1928"/>
    <n v="2.515625"/>
    <n v="2.5234380000000001"/>
    <n v="2.4765630000000001"/>
    <x v="810"/>
    <n v="1.5652029999999999"/>
    <n v="66944000"/>
  </r>
  <r>
    <x v="1929"/>
    <n v="2.484375"/>
    <n v="2.515625"/>
    <n v="2.484375"/>
    <x v="750"/>
    <n v="1.572586"/>
    <n v="45564800"/>
  </r>
  <r>
    <x v="1930"/>
    <n v="2.4921880000000001"/>
    <n v="2.515625"/>
    <n v="2.4609380000000001"/>
    <x v="668"/>
    <n v="1.5553589999999999"/>
    <n v="56009600"/>
  </r>
  <r>
    <x v="1931"/>
    <n v="2.484375"/>
    <n v="2.5078130000000001"/>
    <n v="2.4765630000000001"/>
    <x v="807"/>
    <n v="1.577507"/>
    <n v="39843200"/>
  </r>
  <r>
    <x v="1932"/>
    <n v="2.5078130000000001"/>
    <n v="2.546875"/>
    <n v="2.4921880000000001"/>
    <x v="859"/>
    <n v="1.5922750000000001"/>
    <n v="30163200"/>
  </r>
  <r>
    <x v="1933"/>
    <n v="2.5390630000000001"/>
    <n v="2.546875"/>
    <n v="2.484375"/>
    <x v="752"/>
    <n v="1.579969"/>
    <n v="42422400"/>
  </r>
  <r>
    <x v="1934"/>
    <n v="2.5"/>
    <n v="2.515625"/>
    <n v="2.4296880000000001"/>
    <x v="860"/>
    <n v="1.545515"/>
    <n v="56796800"/>
  </r>
  <r>
    <x v="1935"/>
    <n v="2.4609380000000001"/>
    <n v="2.46875"/>
    <n v="2.390625"/>
    <x v="851"/>
    <n v="1.506138"/>
    <n v="63177600"/>
  </r>
  <r>
    <x v="1936"/>
    <n v="2.3828130000000001"/>
    <n v="2.46875"/>
    <n v="2.375"/>
    <x v="694"/>
    <n v="1.550438"/>
    <n v="56432000"/>
  </r>
  <r>
    <x v="1937"/>
    <n v="2.46875"/>
    <n v="2.484375"/>
    <n v="2.4296880000000001"/>
    <x v="860"/>
    <n v="1.545515"/>
    <n v="28819200"/>
  </r>
  <r>
    <x v="1938"/>
    <n v="2.46875"/>
    <n v="2.5"/>
    <n v="2.4375"/>
    <x v="840"/>
    <n v="1.540594"/>
    <n v="36320000"/>
  </r>
  <r>
    <x v="1939"/>
    <n v="2.5"/>
    <n v="2.5507810000000002"/>
    <n v="2.46875"/>
    <x v="827"/>
    <n v="1.6021190000000001"/>
    <n v="57177600"/>
  </r>
  <r>
    <x v="1940"/>
    <n v="2.5390630000000001"/>
    <n v="2.578125"/>
    <n v="2.53125"/>
    <x v="808"/>
    <n v="1.60704"/>
    <n v="31158400"/>
  </r>
  <r>
    <x v="1941"/>
    <n v="2.5546880000000001"/>
    <n v="2.578125"/>
    <n v="2.5546880000000001"/>
    <x v="861"/>
    <n v="1.6119619999999999"/>
    <n v="34339200"/>
  </r>
  <r>
    <x v="1942"/>
    <n v="2.5625"/>
    <n v="2.5625"/>
    <n v="2.515625"/>
    <x v="662"/>
    <n v="1.584891"/>
    <n v="29244800"/>
  </r>
  <r>
    <x v="1943"/>
    <n v="2.53125"/>
    <n v="2.5859380000000001"/>
    <n v="2.515625"/>
    <x v="853"/>
    <n v="1.619346"/>
    <n v="47664000"/>
  </r>
  <r>
    <x v="1944"/>
    <n v="2.5859380000000001"/>
    <n v="2.59375"/>
    <n v="2.5234380000000001"/>
    <x v="682"/>
    <n v="1.5898129999999999"/>
    <n v="72217600"/>
  </r>
  <r>
    <x v="1945"/>
    <n v="2.5234380000000001"/>
    <n v="2.546875"/>
    <n v="2.5"/>
    <x v="752"/>
    <n v="1.579969"/>
    <n v="48438400"/>
  </r>
  <r>
    <x v="1946"/>
    <n v="2.4921880000000001"/>
    <n v="2.5078130000000001"/>
    <n v="2.484375"/>
    <x v="807"/>
    <n v="1.577507"/>
    <n v="38403200"/>
  </r>
  <r>
    <x v="1947"/>
    <n v="2.4921880000000001"/>
    <n v="2.4921880000000001"/>
    <n v="2.390625"/>
    <x v="709"/>
    <n v="1.5159830000000001"/>
    <n v="80355200"/>
  </r>
  <r>
    <x v="1948"/>
    <n v="2.4296880000000001"/>
    <n v="2.453125"/>
    <n v="2.4140630000000001"/>
    <x v="862"/>
    <n v="1.5233669999999999"/>
    <n v="98256000"/>
  </r>
  <r>
    <x v="1949"/>
    <n v="2.421875"/>
    <n v="2.4921880000000001"/>
    <n v="2.421875"/>
    <x v="694"/>
    <n v="1.550438"/>
    <n v="32467200"/>
  </r>
  <r>
    <x v="1950"/>
    <n v="2.46875"/>
    <n v="2.4765630000000001"/>
    <n v="2.4609380000000001"/>
    <x v="668"/>
    <n v="1.5553589999999999"/>
    <n v="6403200"/>
  </r>
  <r>
    <x v="1951"/>
    <n v="2.46875"/>
    <n v="2.5"/>
    <n v="2.46875"/>
    <x v="810"/>
    <n v="1.5652029999999999"/>
    <n v="32105600"/>
  </r>
  <r>
    <x v="1952"/>
    <n v="2.453125"/>
    <n v="2.515625"/>
    <n v="2.4453130000000001"/>
    <x v="647"/>
    <n v="1.5750470000000001"/>
    <n v="44153600"/>
  </r>
  <r>
    <x v="1953"/>
    <n v="2.515625"/>
    <n v="2.5703130000000001"/>
    <n v="2.515625"/>
    <x v="812"/>
    <n v="1.604579"/>
    <n v="58886400"/>
  </r>
  <r>
    <x v="1954"/>
    <n v="2.5625"/>
    <n v="2.59375"/>
    <n v="2.5546880000000001"/>
    <x v="863"/>
    <n v="1.63165"/>
    <n v="51936000"/>
  </r>
  <r>
    <x v="1955"/>
    <n v="2.6171880000000001"/>
    <n v="2.703125"/>
    <n v="2.609375"/>
    <x v="804"/>
    <n v="1.6882539999999999"/>
    <n v="114502400"/>
  </r>
  <r>
    <x v="1956"/>
    <n v="2.65625"/>
    <n v="2.671875"/>
    <n v="2.625"/>
    <x v="826"/>
    <n v="1.671027"/>
    <n v="59337600"/>
  </r>
  <r>
    <x v="1957"/>
    <n v="2.65625"/>
    <n v="2.6875"/>
    <n v="2.65625"/>
    <x v="652"/>
    <n v="1.6833320000000001"/>
    <n v="32780800"/>
  </r>
  <r>
    <x v="1958"/>
    <n v="2.59375"/>
    <n v="2.6171880000000001"/>
    <n v="2.5703130000000001"/>
    <x v="650"/>
    <n v="1.6439550000000001"/>
    <n v="105900800"/>
  </r>
  <r>
    <x v="1959"/>
    <n v="2.609375"/>
    <n v="2.609375"/>
    <n v="2.515625"/>
    <x v="749"/>
    <n v="1.5971960000000001"/>
    <n v="61465600"/>
  </r>
  <r>
    <x v="1960"/>
    <n v="2.5390630000000001"/>
    <n v="2.5703130000000001"/>
    <n v="2.5234380000000001"/>
    <x v="861"/>
    <n v="1.6119619999999999"/>
    <n v="19916800"/>
  </r>
  <r>
    <x v="1961"/>
    <n v="2.546875"/>
    <n v="2.5625"/>
    <n v="2.5234380000000001"/>
    <x v="827"/>
    <n v="1.6021190000000001"/>
    <n v="20112000"/>
  </r>
  <r>
    <x v="1962"/>
    <n v="2.53125"/>
    <n v="2.546875"/>
    <n v="2.4765630000000001"/>
    <x v="647"/>
    <n v="1.5750470000000001"/>
    <n v="47414400"/>
  </r>
  <r>
    <x v="1963"/>
    <n v="2.5"/>
    <n v="2.53125"/>
    <n v="2.4921880000000001"/>
    <x v="809"/>
    <n v="1.570125"/>
    <n v="35219200"/>
  </r>
  <r>
    <x v="1964"/>
    <n v="2.5"/>
    <n v="2.53125"/>
    <n v="2.4921880000000001"/>
    <x v="647"/>
    <n v="1.5750470000000001"/>
    <n v="29113600"/>
  </r>
  <r>
    <x v="1965"/>
    <n v="2.515625"/>
    <n v="2.515625"/>
    <n v="2.4921880000000001"/>
    <x v="662"/>
    <n v="1.584891"/>
    <n v="26112000"/>
  </r>
  <r>
    <x v="1966"/>
    <n v="2.53125"/>
    <n v="2.5625"/>
    <n v="2.515625"/>
    <x v="677"/>
    <n v="1.6144240000000001"/>
    <n v="35462400"/>
  </r>
  <r>
    <x v="1967"/>
    <n v="2.5625"/>
    <n v="2.578125"/>
    <n v="2.546875"/>
    <x v="754"/>
    <n v="1.6242669999999999"/>
    <n v="31008000"/>
  </r>
  <r>
    <x v="1968"/>
    <n v="2.5703130000000001"/>
    <n v="2.578125"/>
    <n v="2.53125"/>
    <x v="749"/>
    <n v="1.5971960000000001"/>
    <n v="24169600"/>
  </r>
  <r>
    <x v="1969"/>
    <n v="2.53125"/>
    <n v="2.5703130000000001"/>
    <n v="2.5234380000000001"/>
    <x v="859"/>
    <n v="1.5922750000000001"/>
    <n v="31820800"/>
  </r>
  <r>
    <x v="1970"/>
    <n v="2.5234380000000001"/>
    <n v="2.5390630000000001"/>
    <n v="2.4921880000000001"/>
    <x v="662"/>
    <n v="1.584891"/>
    <n v="24537600"/>
  </r>
  <r>
    <x v="1971"/>
    <n v="2.515625"/>
    <n v="2.59375"/>
    <n v="2.515625"/>
    <x v="815"/>
    <n v="1.6291899999999999"/>
    <n v="27776000"/>
  </r>
  <r>
    <x v="1972"/>
    <n v="2.5859380000000001"/>
    <n v="2.609375"/>
    <n v="2.515625"/>
    <x v="812"/>
    <n v="1.604579"/>
    <n v="48988800"/>
  </r>
  <r>
    <x v="1973"/>
    <n v="2.5546880000000001"/>
    <n v="2.5703130000000001"/>
    <n v="2.5234380000000001"/>
    <x v="747"/>
    <n v="1.599658"/>
    <n v="25328000"/>
  </r>
  <r>
    <x v="1974"/>
    <n v="2.53125"/>
    <n v="2.546875"/>
    <n v="2.5078130000000001"/>
    <x v="864"/>
    <n v="1.5873520000000001"/>
    <n v="22995200"/>
  </r>
  <r>
    <x v="1975"/>
    <n v="2.515625"/>
    <n v="2.5234380000000001"/>
    <n v="2.4765630000000001"/>
    <x v="807"/>
    <n v="1.577507"/>
    <n v="36646400"/>
  </r>
  <r>
    <x v="1976"/>
    <n v="2.5078130000000001"/>
    <n v="2.5234380000000001"/>
    <n v="2.4765630000000001"/>
    <x v="662"/>
    <n v="1.584891"/>
    <n v="45302400"/>
  </r>
  <r>
    <x v="1977"/>
    <n v="2.5078130000000001"/>
    <n v="2.578125"/>
    <n v="2.5"/>
    <x v="853"/>
    <n v="1.619346"/>
    <n v="53974400"/>
  </r>
  <r>
    <x v="1978"/>
    <n v="2.5820310000000002"/>
    <n v="2.6484380000000001"/>
    <n v="2.578125"/>
    <x v="813"/>
    <n v="1.666104"/>
    <n v="82006400"/>
  </r>
  <r>
    <x v="1979"/>
    <n v="2.6328130000000001"/>
    <n v="2.6796880000000001"/>
    <n v="2.6015630000000001"/>
    <x v="805"/>
    <n v="1.67841"/>
    <n v="70832000"/>
  </r>
  <r>
    <x v="1980"/>
    <n v="2.65625"/>
    <n v="2.703125"/>
    <n v="2.65625"/>
    <x v="804"/>
    <n v="1.6882539999999999"/>
    <n v="74185600"/>
  </r>
  <r>
    <x v="1981"/>
    <n v="2.65625"/>
    <n v="2.6875"/>
    <n v="2.6367189999999998"/>
    <x v="805"/>
    <n v="1.67841"/>
    <n v="35360000"/>
  </r>
  <r>
    <x v="1982"/>
    <n v="2.65625"/>
    <n v="2.6796880000000001"/>
    <n v="2.6171880000000001"/>
    <x v="652"/>
    <n v="1.6833320000000001"/>
    <n v="39488000"/>
  </r>
  <r>
    <x v="1983"/>
    <n v="2.6484380000000001"/>
    <n v="2.671875"/>
    <n v="2.625"/>
    <x v="759"/>
    <n v="1.680871"/>
    <n v="40755200"/>
  </r>
  <r>
    <x v="1984"/>
    <n v="2.671875"/>
    <n v="2.6875"/>
    <n v="2.6484380000000001"/>
    <x v="865"/>
    <n v="1.685792"/>
    <n v="45216000"/>
  </r>
  <r>
    <x v="1985"/>
    <n v="2.6640630000000001"/>
    <n v="2.6875"/>
    <n v="2.640625"/>
    <x v="651"/>
    <n v="1.668566"/>
    <n v="30755200"/>
  </r>
  <r>
    <x v="1986"/>
    <n v="2.6640630000000001"/>
    <n v="2.671875"/>
    <n v="2.625"/>
    <x v="813"/>
    <n v="1.666104"/>
    <n v="43686400"/>
  </r>
  <r>
    <x v="1987"/>
    <n v="2.6171880000000001"/>
    <n v="2.6328130000000001"/>
    <n v="2.578125"/>
    <x v="676"/>
    <n v="1.6390340000000001"/>
    <n v="76563200"/>
  </r>
  <r>
    <x v="1988"/>
    <n v="2.6015630000000001"/>
    <n v="2.6992189999999998"/>
    <n v="2.6015630000000001"/>
    <x v="803"/>
    <n v="1.6980980000000001"/>
    <n v="145004800"/>
  </r>
  <r>
    <x v="1989"/>
    <n v="2.6953130000000001"/>
    <n v="2.71875"/>
    <n v="2.65625"/>
    <x v="803"/>
    <n v="1.6980980000000001"/>
    <n v="99078400"/>
  </r>
  <r>
    <x v="1990"/>
    <n v="2.6875"/>
    <n v="2.71875"/>
    <n v="2.65625"/>
    <x v="805"/>
    <n v="1.67841"/>
    <n v="38374400"/>
  </r>
  <r>
    <x v="1991"/>
    <n v="2.6640630000000001"/>
    <n v="2.6679689999999998"/>
    <n v="2.625"/>
    <x v="796"/>
    <n v="1.6759489999999999"/>
    <n v="70361600"/>
  </r>
  <r>
    <x v="1992"/>
    <n v="2.65625"/>
    <n v="2.65625"/>
    <n v="2.625"/>
    <x v="685"/>
    <n v="1.6587229999999999"/>
    <n v="50489600"/>
  </r>
  <r>
    <x v="1993"/>
    <n v="2.625"/>
    <n v="2.6484380000000001"/>
    <n v="2.6015630000000001"/>
    <x v="685"/>
    <n v="1.6587229999999999"/>
    <n v="51129600"/>
  </r>
  <r>
    <x v="1994"/>
    <n v="2.640625"/>
    <n v="2.671875"/>
    <n v="2.6328130000000001"/>
    <x v="826"/>
    <n v="1.671027"/>
    <n v="41875200"/>
  </r>
  <r>
    <x v="1995"/>
    <n v="2.6640630000000001"/>
    <n v="2.6835939999999998"/>
    <n v="2.6484380000000001"/>
    <x v="796"/>
    <n v="1.6759489999999999"/>
    <n v="62566400"/>
  </r>
  <r>
    <x v="1996"/>
    <n v="2.65625"/>
    <n v="2.6796880000000001"/>
    <n v="2.640625"/>
    <x v="796"/>
    <n v="1.6759489999999999"/>
    <n v="44003200"/>
  </r>
  <r>
    <x v="1997"/>
    <n v="2.6484380000000001"/>
    <n v="2.671875"/>
    <n v="2.625"/>
    <x v="854"/>
    <n v="1.653799"/>
    <n v="40924800"/>
  </r>
  <r>
    <x v="1998"/>
    <n v="2.6328130000000001"/>
    <n v="2.640625"/>
    <n v="2.609375"/>
    <x v="758"/>
    <n v="1.6636439999999999"/>
    <n v="31792000"/>
  </r>
  <r>
    <x v="1999"/>
    <n v="2.625"/>
    <n v="2.640625"/>
    <n v="2.5390630000000001"/>
    <x v="747"/>
    <n v="1.599658"/>
    <n v="78217600"/>
  </r>
  <r>
    <x v="2000"/>
    <n v="2.4921880000000001"/>
    <n v="2.5390630000000001"/>
    <n v="2.484375"/>
    <x v="682"/>
    <n v="1.5898129999999999"/>
    <n v="118851200"/>
  </r>
  <r>
    <x v="2001"/>
    <n v="2.515625"/>
    <n v="2.515625"/>
    <n v="2.4375"/>
    <x v="694"/>
    <n v="1.550438"/>
    <n v="149875200"/>
  </r>
  <r>
    <x v="2002"/>
    <n v="2.453125"/>
    <n v="2.5078130000000001"/>
    <n v="2.4375"/>
    <x v="753"/>
    <n v="1.5676639999999999"/>
    <n v="98585600"/>
  </r>
  <r>
    <x v="2003"/>
    <n v="2.4921880000000001"/>
    <n v="2.5234380000000001"/>
    <n v="2.46875"/>
    <x v="866"/>
    <n v="1.5627420000000001"/>
    <n v="66620800"/>
  </r>
  <r>
    <x v="2004"/>
    <n v="2.4765630000000001"/>
    <n v="2.484375"/>
    <n v="2.4375"/>
    <x v="694"/>
    <n v="1.550438"/>
    <n v="53747200"/>
  </r>
  <r>
    <x v="2005"/>
    <n v="2.46875"/>
    <n v="2.484375"/>
    <n v="2.4609380000000001"/>
    <x v="751"/>
    <n v="1.55782"/>
    <n v="55270400"/>
  </r>
  <r>
    <x v="2006"/>
    <n v="2.4921880000000001"/>
    <n v="2.5078130000000001"/>
    <n v="2.4765630000000001"/>
    <x v="809"/>
    <n v="1.570125"/>
    <n v="28876800"/>
  </r>
  <r>
    <x v="2007"/>
    <n v="2.5078130000000001"/>
    <n v="2.5078130000000001"/>
    <n v="2.4609380000000001"/>
    <x v="694"/>
    <n v="1.550438"/>
    <n v="43731200"/>
  </r>
  <r>
    <x v="2008"/>
    <n v="2.46875"/>
    <n v="2.484375"/>
    <n v="2.4375"/>
    <x v="867"/>
    <n v="1.547976"/>
    <n v="85017600"/>
  </r>
  <r>
    <x v="2009"/>
    <n v="2.453125"/>
    <n v="2.5234380000000001"/>
    <n v="2.453125"/>
    <x v="647"/>
    <n v="1.5750470000000001"/>
    <n v="79465600"/>
  </r>
  <r>
    <x v="2010"/>
    <n v="2.5"/>
    <n v="2.5078130000000001"/>
    <n v="2.453125"/>
    <x v="810"/>
    <n v="1.5652029999999999"/>
    <n v="63235200"/>
  </r>
  <r>
    <x v="2011"/>
    <n v="2.4921880000000001"/>
    <n v="2.5625"/>
    <n v="2.4453130000000001"/>
    <x v="858"/>
    <n v="1.594735"/>
    <n v="139462400"/>
  </r>
  <r>
    <x v="2012"/>
    <n v="2.5"/>
    <n v="2.5234380000000001"/>
    <n v="2.4765630000000001"/>
    <x v="750"/>
    <n v="1.572586"/>
    <n v="82553600"/>
  </r>
  <r>
    <x v="2013"/>
    <n v="2.5078130000000001"/>
    <n v="2.5390630000000001"/>
    <n v="2.4921880000000001"/>
    <x v="858"/>
    <n v="1.594735"/>
    <n v="52995200"/>
  </r>
  <r>
    <x v="2014"/>
    <n v="2.5390630000000001"/>
    <n v="2.59375"/>
    <n v="2.53125"/>
    <x v="754"/>
    <n v="1.6242669999999999"/>
    <n v="55494400"/>
  </r>
  <r>
    <x v="2015"/>
    <n v="2.59375"/>
    <n v="2.6015630000000001"/>
    <n v="2.5703130000000001"/>
    <x v="676"/>
    <n v="1.6390340000000001"/>
    <n v="48070400"/>
  </r>
  <r>
    <x v="2016"/>
    <n v="2.5546880000000001"/>
    <n v="2.59375"/>
    <n v="2.53125"/>
    <x v="815"/>
    <n v="1.6291899999999999"/>
    <n v="68499200"/>
  </r>
  <r>
    <x v="2017"/>
    <n v="2.59375"/>
    <n v="2.6015630000000001"/>
    <n v="2.515625"/>
    <x v="858"/>
    <n v="1.594735"/>
    <n v="31564800"/>
  </r>
  <r>
    <x v="2018"/>
    <n v="2.53125"/>
    <n v="2.546875"/>
    <n v="2.515625"/>
    <x v="858"/>
    <n v="1.594735"/>
    <n v="25705600"/>
  </r>
  <r>
    <x v="2019"/>
    <n v="2.5390630000000001"/>
    <n v="2.5703130000000001"/>
    <n v="2.5234380000000001"/>
    <x v="747"/>
    <n v="1.599658"/>
    <n v="30540800"/>
  </r>
  <r>
    <x v="2020"/>
    <n v="2.5390630000000001"/>
    <n v="2.5390630000000001"/>
    <n v="2.4921880000000001"/>
    <x v="858"/>
    <n v="1.594735"/>
    <n v="24723200"/>
  </r>
  <r>
    <x v="2021"/>
    <n v="2.5390630000000001"/>
    <n v="2.5546880000000001"/>
    <n v="2.5"/>
    <x v="859"/>
    <n v="1.5922750000000001"/>
    <n v="37024000"/>
  </r>
  <r>
    <x v="2022"/>
    <n v="2.546875"/>
    <n v="2.5703130000000001"/>
    <n v="2.515625"/>
    <x v="859"/>
    <n v="1.5922750000000001"/>
    <n v="46588800"/>
  </r>
  <r>
    <x v="2023"/>
    <n v="2.53125"/>
    <n v="2.5703130000000001"/>
    <n v="2.5234380000000001"/>
    <x v="711"/>
    <n v="1.609502"/>
    <n v="34857600"/>
  </r>
  <r>
    <x v="2024"/>
    <n v="2.578125"/>
    <n v="2.6328130000000001"/>
    <n v="2.5703130000000001"/>
    <x v="757"/>
    <n v="1.651338"/>
    <n v="69203200"/>
  </r>
  <r>
    <x v="2025"/>
    <n v="2.625"/>
    <n v="2.6640630000000001"/>
    <n v="2.609375"/>
    <x v="826"/>
    <n v="1.671027"/>
    <n v="62934400"/>
  </r>
  <r>
    <x v="2026"/>
    <n v="2.65625"/>
    <n v="2.6640630000000001"/>
    <n v="2.640625"/>
    <x v="651"/>
    <n v="1.668566"/>
    <n v="41286400"/>
  </r>
  <r>
    <x v="2027"/>
    <n v="2.6484380000000001"/>
    <n v="2.6640630000000001"/>
    <n v="2.640625"/>
    <x v="758"/>
    <n v="1.6636439999999999"/>
    <n v="30992000"/>
  </r>
  <r>
    <x v="2028"/>
    <n v="2.640625"/>
    <n v="2.65625"/>
    <n v="2.609375"/>
    <x v="651"/>
    <n v="1.668566"/>
    <n v="36857600"/>
  </r>
  <r>
    <x v="2029"/>
    <n v="2.65625"/>
    <n v="2.6679689999999998"/>
    <n v="2.59375"/>
    <x v="676"/>
    <n v="1.6390340000000001"/>
    <n v="65078400"/>
  </r>
  <r>
    <x v="2030"/>
    <n v="2.5703130000000001"/>
    <n v="2.6796880000000001"/>
    <n v="2.5703130000000001"/>
    <x v="651"/>
    <n v="1.668566"/>
    <n v="89024000"/>
  </r>
  <r>
    <x v="2031"/>
    <n v="2.6640630000000001"/>
    <n v="2.734375"/>
    <n v="2.65625"/>
    <x v="803"/>
    <n v="1.6980980000000001"/>
    <n v="116441600"/>
  </r>
  <r>
    <x v="2032"/>
    <n v="2.6796880000000001"/>
    <n v="2.7265630000000001"/>
    <n v="2.65625"/>
    <x v="792"/>
    <n v="1.717786"/>
    <n v="60166400"/>
  </r>
  <r>
    <x v="2033"/>
    <n v="2.71875"/>
    <n v="2.7890630000000001"/>
    <n v="2.71875"/>
    <x v="793"/>
    <n v="1.7227079999999999"/>
    <n v="102051200"/>
  </r>
  <r>
    <x v="2034"/>
    <n v="2.734375"/>
    <n v="2.75"/>
    <n v="2.6171880000000001"/>
    <x v="787"/>
    <n v="1.7005589999999999"/>
    <n v="118403200"/>
  </r>
  <r>
    <x v="2035"/>
    <n v="2.703125"/>
    <n v="2.703125"/>
    <n v="2.578125"/>
    <x v="754"/>
    <n v="1.6242669999999999"/>
    <n v="78339200"/>
  </r>
  <r>
    <x v="2036"/>
    <n v="2.5859380000000001"/>
    <n v="2.65625"/>
    <n v="2.578125"/>
    <x v="806"/>
    <n v="1.6464160000000001"/>
    <n v="86860800"/>
  </r>
  <r>
    <x v="2037"/>
    <n v="2.609375"/>
    <n v="2.6796880000000001"/>
    <n v="2.578125"/>
    <x v="651"/>
    <n v="1.668566"/>
    <n v="72297600"/>
  </r>
  <r>
    <x v="2038"/>
    <n v="2.578125"/>
    <n v="2.6796880000000001"/>
    <n v="2.5625"/>
    <x v="758"/>
    <n v="1.6636439999999999"/>
    <n v="73996800"/>
  </r>
  <r>
    <x v="2039"/>
    <n v="2.6640630000000001"/>
    <n v="2.7421880000000001"/>
    <n v="2.65625"/>
    <x v="791"/>
    <n v="1.72763"/>
    <n v="101878400"/>
  </r>
  <r>
    <x v="2040"/>
    <n v="2.734375"/>
    <n v="2.7890630000000001"/>
    <n v="2.7265630000000001"/>
    <x v="786"/>
    <n v="1.75224"/>
    <n v="80780800"/>
  </r>
  <r>
    <x v="2041"/>
    <n v="2.7890630000000001"/>
    <n v="2.8164060000000002"/>
    <n v="2.7734380000000001"/>
    <x v="762"/>
    <n v="1.767007"/>
    <n v="76630400"/>
  </r>
  <r>
    <x v="2042"/>
    <n v="2.8046880000000001"/>
    <n v="2.8125"/>
    <n v="2.7109380000000001"/>
    <x v="789"/>
    <n v="1.7128639999999999"/>
    <n v="118710400"/>
  </r>
  <r>
    <x v="2043"/>
    <n v="2.71875"/>
    <n v="2.7265630000000001"/>
    <n v="2.6875"/>
    <x v="789"/>
    <n v="1.7128639999999999"/>
    <n v="40400000"/>
  </r>
  <r>
    <x v="2044"/>
    <n v="2.7109380000000001"/>
    <n v="2.7109380000000001"/>
    <n v="2.625"/>
    <x v="651"/>
    <n v="1.668566"/>
    <n v="84969600"/>
  </r>
  <r>
    <x v="2045"/>
    <n v="2.6484380000000001"/>
    <n v="2.671875"/>
    <n v="2.59375"/>
    <x v="826"/>
    <n v="1.671027"/>
    <n v="69644800"/>
  </r>
  <r>
    <x v="2046"/>
    <n v="2.640625"/>
    <n v="2.6640630000000001"/>
    <n v="2.6171880000000001"/>
    <x v="856"/>
    <n v="1.656261"/>
    <n v="53088000"/>
  </r>
  <r>
    <x v="2047"/>
    <n v="2.609375"/>
    <n v="2.6640630000000001"/>
    <n v="2.609375"/>
    <x v="826"/>
    <n v="1.671027"/>
    <n v="35241600"/>
  </r>
  <r>
    <x v="2048"/>
    <n v="2.6484380000000001"/>
    <n v="2.6796880000000001"/>
    <n v="2.5703130000000001"/>
    <x v="663"/>
    <n v="1.6341110000000001"/>
    <n v="78006400"/>
  </r>
  <r>
    <x v="2049"/>
    <n v="2.71875"/>
    <n v="2.796875"/>
    <n v="2.6796880000000001"/>
    <x v="868"/>
    <n v="1.7350129999999999"/>
    <n v="291273600"/>
  </r>
  <r>
    <x v="2050"/>
    <n v="2.765625"/>
    <n v="2.8007810000000002"/>
    <n v="2.71875"/>
    <x v="801"/>
    <n v="1.762084"/>
    <n v="104732800"/>
  </r>
  <r>
    <x v="2051"/>
    <n v="2.796875"/>
    <n v="2.8671880000000001"/>
    <n v="2.7890630000000001"/>
    <x v="778"/>
    <n v="1.801461"/>
    <n v="141980800"/>
  </r>
  <r>
    <x v="2052"/>
    <n v="2.875"/>
    <n v="2.8984380000000001"/>
    <n v="2.8359380000000001"/>
    <x v="780"/>
    <n v="1.8063819999999999"/>
    <n v="66060800"/>
  </r>
  <r>
    <x v="2053"/>
    <n v="2.875"/>
    <n v="2.9453130000000001"/>
    <n v="2.859375"/>
    <x v="772"/>
    <n v="1.8457589999999999"/>
    <n v="142745600"/>
  </r>
  <r>
    <x v="2054"/>
    <n v="2.953125"/>
    <n v="2.9765630000000001"/>
    <n v="2.9375"/>
    <x v="869"/>
    <n v="1.869138"/>
    <n v="113193600"/>
  </r>
  <r>
    <x v="2055"/>
    <n v="2.9765630000000001"/>
    <n v="2.9765630000000001"/>
    <n v="2.8671880000000001"/>
    <x v="831"/>
    <n v="1.8137650000000001"/>
    <n v="141382400"/>
  </r>
  <r>
    <x v="2056"/>
    <n v="2.875"/>
    <n v="2.921875"/>
    <n v="2.8515630000000001"/>
    <x v="785"/>
    <n v="1.8211489999999999"/>
    <n v="56803200"/>
  </r>
  <r>
    <x v="2057"/>
    <n v="2.8984380000000001"/>
    <n v="2.9863279999999999"/>
    <n v="2.875"/>
    <x v="870"/>
    <n v="1.8802129999999999"/>
    <n v="79260800"/>
  </r>
  <r>
    <x v="2058"/>
    <n v="2.9765630000000001"/>
    <n v="2.984375"/>
    <n v="2.9140630000000001"/>
    <x v="773"/>
    <n v="1.8408359999999999"/>
    <n v="41929600"/>
  </r>
  <r>
    <x v="2059"/>
    <n v="2.9296880000000001"/>
    <n v="2.9765630000000001"/>
    <n v="2.8984380000000001"/>
    <x v="871"/>
    <n v="1.87283"/>
    <n v="68889600"/>
  </r>
  <r>
    <x v="2060"/>
    <n v="2.9765630000000001"/>
    <n v="3.0078130000000001"/>
    <n v="2.9375"/>
    <x v="872"/>
    <n v="1.8580639999999999"/>
    <n v="56374400"/>
  </r>
  <r>
    <x v="2061"/>
    <n v="2.9140630000000001"/>
    <n v="2.9453130000000001"/>
    <n v="2.8398439999999998"/>
    <x v="785"/>
    <n v="1.8211489999999999"/>
    <n v="96403200"/>
  </r>
  <r>
    <x v="2062"/>
    <n v="2.8671880000000001"/>
    <n v="2.9257810000000002"/>
    <n v="2.8632810000000002"/>
    <x v="837"/>
    <n v="1.816227"/>
    <n v="47600000"/>
  </r>
  <r>
    <x v="2063"/>
    <n v="2.90625"/>
    <n v="2.953125"/>
    <n v="2.8984380000000001"/>
    <x v="776"/>
    <n v="1.850681"/>
    <n v="65305600"/>
  </r>
  <r>
    <x v="2064"/>
    <n v="2.9375"/>
    <n v="2.9453130000000001"/>
    <n v="2.8984380000000001"/>
    <x v="773"/>
    <n v="1.8408359999999999"/>
    <n v="57433600"/>
  </r>
  <r>
    <x v="2065"/>
    <n v="2.921875"/>
    <n v="2.978027"/>
    <n v="2.9140630000000001"/>
    <x v="873"/>
    <n v="1.860525"/>
    <n v="58998400"/>
  </r>
  <r>
    <x v="2066"/>
    <n v="3.046875"/>
    <n v="3.046875"/>
    <n v="2.953125"/>
    <x v="874"/>
    <n v="1.8999010000000001"/>
    <n v="179920000"/>
  </r>
  <r>
    <x v="2067"/>
    <n v="3.0078130000000001"/>
    <n v="3.0234380000000001"/>
    <n v="2.9609380000000001"/>
    <x v="777"/>
    <n v="1.8703689999999999"/>
    <n v="56633600"/>
  </r>
  <r>
    <x v="2068"/>
    <n v="2.96875"/>
    <n v="2.9765630000000001"/>
    <n v="2.921875"/>
    <x v="836"/>
    <n v="1.8629849999999999"/>
    <n v="122464000"/>
  </r>
  <r>
    <x v="2069"/>
    <n v="2.9765630000000001"/>
    <n v="3.046875"/>
    <n v="2.9609380000000001"/>
    <x v="875"/>
    <n v="1.9109750000000001"/>
    <n v="96953600"/>
  </r>
  <r>
    <x v="2070"/>
    <n v="3.0390630000000001"/>
    <n v="3.09375"/>
    <n v="3.03125"/>
    <x v="876"/>
    <n v="1.9368160000000001"/>
    <n v="89651200"/>
  </r>
  <r>
    <x v="2071"/>
    <n v="3.0625"/>
    <n v="3.1015630000000001"/>
    <n v="3.0390630000000001"/>
    <x v="877"/>
    <n v="1.924512"/>
    <n v="78140800"/>
  </r>
  <r>
    <x v="2072"/>
    <n v="3.0625"/>
    <n v="3.1875"/>
    <n v="3.03125"/>
    <x v="878"/>
    <n v="1.990958"/>
    <n v="74947200"/>
  </r>
  <r>
    <x v="2073"/>
    <n v="3.203125"/>
    <n v="3.2421880000000001"/>
    <n v="3.140625"/>
    <x v="879"/>
    <n v="2.0131079999999999"/>
    <n v="85144000"/>
  </r>
  <r>
    <x v="2074"/>
    <n v="3.1875"/>
    <n v="3.296875"/>
    <n v="3.140625"/>
    <x v="880"/>
    <n v="2.06725"/>
    <n v="86003200"/>
  </r>
  <r>
    <x v="2075"/>
    <n v="3.296875"/>
    <n v="3.296875"/>
    <n v="3.203125"/>
    <x v="881"/>
    <n v="2.0475620000000001"/>
    <n v="64296000"/>
  </r>
  <r>
    <x v="2076"/>
    <n v="3.234375"/>
    <n v="3.296875"/>
    <n v="3.203125"/>
    <x v="882"/>
    <n v="2.0623279999999999"/>
    <n v="47544000"/>
  </r>
  <r>
    <x v="2077"/>
    <n v="3.265625"/>
    <n v="3.3603519999999998"/>
    <n v="3.2421880000000001"/>
    <x v="883"/>
    <n v="2.1164700000000001"/>
    <n v="76000000"/>
  </r>
  <r>
    <x v="2078"/>
    <n v="3.34375"/>
    <n v="3.34375"/>
    <n v="3.2734380000000001"/>
    <x v="884"/>
    <n v="2.086938"/>
    <n v="100764800"/>
  </r>
  <r>
    <x v="2079"/>
    <n v="3.328125"/>
    <n v="3.3359380000000001"/>
    <n v="3.25"/>
    <x v="885"/>
    <n v="2.0574050000000002"/>
    <n v="60291200"/>
  </r>
  <r>
    <x v="2080"/>
    <n v="3.28125"/>
    <n v="3.34375"/>
    <n v="3.265625"/>
    <x v="886"/>
    <n v="2.0820159999999999"/>
    <n v="86841600"/>
  </r>
  <r>
    <x v="2081"/>
    <n v="3.2890630000000001"/>
    <n v="3.4140630000000001"/>
    <n v="3.234375"/>
    <x v="887"/>
    <n v="2.146001"/>
    <n v="764504000"/>
  </r>
  <r>
    <x v="2082"/>
    <n v="3.375"/>
    <n v="3.390625"/>
    <n v="3.34375"/>
    <x v="888"/>
    <n v="2.111548"/>
    <n v="166171200"/>
  </r>
  <r>
    <x v="2083"/>
    <n v="3.3515630000000001"/>
    <n v="3.3515630000000001"/>
    <n v="3.2265630000000001"/>
    <x v="881"/>
    <n v="2.0475620000000001"/>
    <n v="203835200"/>
  </r>
  <r>
    <x v="2084"/>
    <n v="3.2421880000000001"/>
    <n v="3.2851560000000002"/>
    <n v="3.234375"/>
    <x v="885"/>
    <n v="2.0574050000000002"/>
    <n v="79356800"/>
  </r>
  <r>
    <x v="2085"/>
    <n v="3.265625"/>
    <n v="3.3125"/>
    <n v="3.2421880000000001"/>
    <x v="889"/>
    <n v="2.0697109999999999"/>
    <n v="53726400"/>
  </r>
  <r>
    <x v="2086"/>
    <n v="3.2890630000000001"/>
    <n v="3.3359380000000001"/>
    <n v="3.2421880000000001"/>
    <x v="886"/>
    <n v="2.0820159999999999"/>
    <n v="56628800"/>
  </r>
  <r>
    <x v="2087"/>
    <n v="3.3203130000000001"/>
    <n v="3.3828130000000001"/>
    <n v="3.3125"/>
    <x v="890"/>
    <n v="2.1090870000000002"/>
    <n v="59249600"/>
  </r>
  <r>
    <x v="2088"/>
    <n v="3.3515630000000001"/>
    <n v="3.4140630000000001"/>
    <n v="3.328125"/>
    <x v="891"/>
    <n v="2.1361590000000001"/>
    <n v="58860800"/>
  </r>
  <r>
    <x v="2089"/>
    <n v="3.390625"/>
    <n v="3.390625"/>
    <n v="3.34375"/>
    <x v="890"/>
    <n v="2.1090870000000002"/>
    <n v="48478400"/>
  </r>
  <r>
    <x v="2090"/>
    <n v="3.34375"/>
    <n v="3.3515630000000001"/>
    <n v="3.3046880000000001"/>
    <x v="884"/>
    <n v="2.086938"/>
    <n v="47622400"/>
  </r>
  <r>
    <x v="2091"/>
    <n v="3.28125"/>
    <n v="3.34375"/>
    <n v="3.2734380000000001"/>
    <x v="892"/>
    <n v="2.1066250000000002"/>
    <n v="45668800"/>
  </r>
  <r>
    <x v="2092"/>
    <n v="3.2578130000000001"/>
    <n v="3.3359380000000001"/>
    <n v="3.25"/>
    <x v="893"/>
    <n v="2.0721720000000001"/>
    <n v="86995200"/>
  </r>
  <r>
    <x v="2093"/>
    <n v="3.296875"/>
    <n v="3.3125"/>
    <n v="3.203125"/>
    <x v="894"/>
    <n v="2.0278740000000002"/>
    <n v="82924800"/>
  </r>
  <r>
    <x v="2094"/>
    <n v="3.21875"/>
    <n v="3.265625"/>
    <n v="3.125"/>
    <x v="895"/>
    <n v="1.973732"/>
    <n v="85979200"/>
  </r>
  <r>
    <x v="2095"/>
    <n v="3.125"/>
    <n v="3.1484380000000001"/>
    <n v="3.078125"/>
    <x v="896"/>
    <n v="1.9491210000000001"/>
    <n v="81454400"/>
  </r>
  <r>
    <x v="2096"/>
    <n v="3.109375"/>
    <n v="3.2578130000000001"/>
    <n v="3.0859380000000001"/>
    <x v="897"/>
    <n v="2.0426389999999999"/>
    <n v="76161600"/>
  </r>
  <r>
    <x v="2097"/>
    <n v="3.25"/>
    <n v="3.296875"/>
    <n v="3.1367189999999998"/>
    <x v="898"/>
    <n v="2.0204900000000001"/>
    <n v="99417600"/>
  </r>
  <r>
    <x v="2098"/>
    <n v="3.2109380000000001"/>
    <n v="3.2421880000000001"/>
    <n v="3.1796880000000001"/>
    <x v="899"/>
    <n v="2.0229520000000001"/>
    <n v="53435200"/>
  </r>
  <r>
    <x v="2099"/>
    <n v="3.234375"/>
    <n v="3.2578130000000001"/>
    <n v="3.1875"/>
    <x v="900"/>
    <n v="2.0327959999999998"/>
    <n v="40827200"/>
  </r>
  <r>
    <x v="2100"/>
    <n v="3.2265630000000001"/>
    <n v="3.234375"/>
    <n v="3.1162109999999998"/>
    <x v="901"/>
    <n v="1.978653"/>
    <n v="66622400"/>
  </r>
  <r>
    <x v="2101"/>
    <n v="3.1484380000000001"/>
    <n v="3.1875"/>
    <n v="3.0625"/>
    <x v="902"/>
    <n v="1.934355"/>
    <n v="40430400"/>
  </r>
  <r>
    <x v="2102"/>
    <n v="3.0351560000000002"/>
    <n v="3.0625"/>
    <n v="2.984375"/>
    <x v="903"/>
    <n v="1.902361"/>
    <n v="89254400"/>
  </r>
  <r>
    <x v="2103"/>
    <n v="3.03125"/>
    <n v="3.15625"/>
    <n v="2.9960939999999998"/>
    <x v="904"/>
    <n v="1.9835750000000001"/>
    <n v="89667200"/>
  </r>
  <r>
    <x v="2104"/>
    <n v="3.1171880000000001"/>
    <n v="3.1796880000000001"/>
    <n v="3.0703130000000001"/>
    <x v="896"/>
    <n v="1.9491210000000001"/>
    <n v="48945600"/>
  </r>
  <r>
    <x v="2105"/>
    <n v="3.1015630000000001"/>
    <n v="3.1015630000000001"/>
    <n v="2.984375"/>
    <x v="905"/>
    <n v="1.9048229999999999"/>
    <n v="85406400"/>
  </r>
  <r>
    <x v="2106"/>
    <n v="3.015625"/>
    <n v="3.015625"/>
    <n v="2.9296880000000001"/>
    <x v="906"/>
    <n v="1.8900570000000001"/>
    <n v="83752000"/>
  </r>
  <r>
    <x v="2107"/>
    <n v="3.015625"/>
    <n v="3.09375"/>
    <n v="2.9921880000000001"/>
    <x v="896"/>
    <n v="1.9491210000000001"/>
    <n v="82956800"/>
  </r>
  <r>
    <x v="2108"/>
    <n v="3.0859380000000001"/>
    <n v="3.1015630000000001"/>
    <n v="3.0234380000000001"/>
    <x v="907"/>
    <n v="1.919589"/>
    <n v="81446400"/>
  </r>
  <r>
    <x v="2109"/>
    <n v="3.046875"/>
    <n v="3.0859380000000001"/>
    <n v="3"/>
    <x v="908"/>
    <n v="1.9146669999999999"/>
    <n v="45520000"/>
  </r>
  <r>
    <x v="2110"/>
    <n v="3.21875"/>
    <n v="3.234375"/>
    <n v="3.09375"/>
    <x v="909"/>
    <n v="1.988497"/>
    <n v="150499200"/>
  </r>
  <r>
    <x v="2111"/>
    <n v="3.1640630000000001"/>
    <n v="3.1640630000000001"/>
    <n v="3.1015630000000001"/>
    <x v="895"/>
    <n v="1.973732"/>
    <n v="70126400"/>
  </r>
  <r>
    <x v="2112"/>
    <n v="3.125"/>
    <n v="3.125"/>
    <n v="2.9921880000000001"/>
    <x v="905"/>
    <n v="1.9048229999999999"/>
    <n v="112604800"/>
  </r>
  <r>
    <x v="2113"/>
    <n v="3.0390630000000001"/>
    <n v="3.0546880000000001"/>
    <n v="2.96875"/>
    <x v="870"/>
    <n v="1.8802129999999999"/>
    <n v="85740800"/>
  </r>
  <r>
    <x v="2114"/>
    <n v="3.03125"/>
    <n v="3.171875"/>
    <n v="2.953125"/>
    <x v="878"/>
    <n v="1.990958"/>
    <n v="152916800"/>
  </r>
  <r>
    <x v="2115"/>
    <n v="3.1640630000000001"/>
    <n v="3.2265630000000001"/>
    <n v="3.140625"/>
    <x v="910"/>
    <n v="2.015568"/>
    <n v="51513600"/>
  </r>
  <r>
    <x v="2116"/>
    <n v="3.1953130000000001"/>
    <n v="3.203125"/>
    <n v="3.109375"/>
    <x v="904"/>
    <n v="1.9835750000000001"/>
    <n v="54308800"/>
  </r>
  <r>
    <x v="2117"/>
    <n v="3.1484380000000001"/>
    <n v="3.1484380000000001"/>
    <n v="3.09375"/>
    <x v="896"/>
    <n v="1.9491210000000001"/>
    <n v="29291200"/>
  </r>
  <r>
    <x v="2118"/>
    <n v="3.09375"/>
    <n v="3.140625"/>
    <n v="3.078125"/>
    <x v="896"/>
    <n v="1.9491210000000001"/>
    <n v="39899200"/>
  </r>
  <r>
    <x v="2119"/>
    <n v="3.1171880000000001"/>
    <n v="3.2265630000000001"/>
    <n v="3.1015630000000001"/>
    <x v="894"/>
    <n v="2.0278740000000002"/>
    <n v="67064000"/>
  </r>
  <r>
    <x v="2120"/>
    <n v="3.2265630000000001"/>
    <n v="3.3515630000000001"/>
    <n v="3.21875"/>
    <x v="911"/>
    <n v="2.1017039999999998"/>
    <n v="83934400"/>
  </r>
  <r>
    <x v="2121"/>
    <n v="3.359375"/>
    <n v="3.4140630000000001"/>
    <n v="3.2890630000000001"/>
    <x v="912"/>
    <n v="2.079555"/>
    <n v="95249600"/>
  </r>
  <r>
    <x v="2122"/>
    <n v="3.359375"/>
    <n v="3.375"/>
    <n v="3.3203130000000001"/>
    <x v="911"/>
    <n v="2.1017039999999998"/>
    <n v="58771200"/>
  </r>
  <r>
    <x v="2123"/>
    <n v="3.34375"/>
    <n v="3.3515630000000001"/>
    <n v="3.296875"/>
    <x v="913"/>
    <n v="2.0770940000000002"/>
    <n v="40192000"/>
  </r>
  <r>
    <x v="2124"/>
    <n v="3.2890630000000001"/>
    <n v="3.3046880000000001"/>
    <n v="3.265625"/>
    <x v="880"/>
    <n v="2.06725"/>
    <n v="31204800"/>
  </r>
  <r>
    <x v="2125"/>
    <n v="3.2734380000000001"/>
    <n v="3.3125"/>
    <n v="3.25"/>
    <x v="884"/>
    <n v="2.086938"/>
    <n v="34537600"/>
  </r>
  <r>
    <x v="2126"/>
    <n v="3.3125"/>
    <n v="3.3671880000000001"/>
    <n v="3.296875"/>
    <x v="892"/>
    <n v="2.1066250000000002"/>
    <n v="40198400"/>
  </r>
  <r>
    <x v="2127"/>
    <n v="3.34375"/>
    <n v="3.3984380000000001"/>
    <n v="3.328125"/>
    <x v="914"/>
    <n v="2.1312359999999999"/>
    <n v="48646400"/>
  </r>
  <r>
    <x v="2128"/>
    <n v="3.3671880000000001"/>
    <n v="3.5"/>
    <n v="3.3671880000000001"/>
    <x v="915"/>
    <n v="2.1755339999999999"/>
    <n v="81428800"/>
  </r>
  <r>
    <x v="2129"/>
    <n v="3.4609380000000001"/>
    <n v="3.4765630000000001"/>
    <n v="3.4296880000000001"/>
    <x v="915"/>
    <n v="2.1755339999999999"/>
    <n v="38088000"/>
  </r>
  <r>
    <x v="2130"/>
    <n v="3.46875"/>
    <n v="3.46875"/>
    <n v="3.3984380000000001"/>
    <x v="916"/>
    <n v="2.1435420000000001"/>
    <n v="36113600"/>
  </r>
  <r>
    <x v="2131"/>
    <n v="3.4296880000000001"/>
    <n v="3.4453130000000001"/>
    <n v="3.375"/>
    <x v="917"/>
    <n v="2.1607690000000002"/>
    <n v="56779200"/>
  </r>
  <r>
    <x v="2132"/>
    <n v="3.4609380000000001"/>
    <n v="3.515625"/>
    <n v="3.4453130000000001"/>
    <x v="918"/>
    <n v="2.2001439999999999"/>
    <n v="79790400"/>
  </r>
  <r>
    <x v="2133"/>
    <n v="3.4921880000000001"/>
    <n v="3.5234380000000001"/>
    <n v="3.4609380000000001"/>
    <x v="919"/>
    <n v="2.185378"/>
    <n v="61276800"/>
  </r>
  <r>
    <x v="2134"/>
    <n v="3.4921880000000001"/>
    <n v="3.5"/>
    <n v="3.421875"/>
    <x v="917"/>
    <n v="2.1607690000000002"/>
    <n v="74761600"/>
  </r>
  <r>
    <x v="2135"/>
    <n v="3.4375"/>
    <n v="3.4375"/>
    <n v="3.40625"/>
    <x v="920"/>
    <n v="2.1509239999999998"/>
    <n v="62835200"/>
  </r>
  <r>
    <x v="2136"/>
    <n v="3.4140630000000001"/>
    <n v="3.5234380000000001"/>
    <n v="3.40625"/>
    <x v="919"/>
    <n v="2.185378"/>
    <n v="58363200"/>
  </r>
  <r>
    <x v="2137"/>
    <n v="3.46875"/>
    <n v="3.5"/>
    <n v="3.46875"/>
    <x v="921"/>
    <n v="2.1952219999999998"/>
    <n v="35246400"/>
  </r>
  <r>
    <x v="2138"/>
    <n v="3.4921880000000001"/>
    <n v="3.546875"/>
    <n v="3.484375"/>
    <x v="922"/>
    <n v="2.2124489999999999"/>
    <n v="55174400"/>
  </r>
  <r>
    <x v="2139"/>
    <n v="3.5234380000000001"/>
    <n v="3.609375"/>
    <n v="3.515625"/>
    <x v="923"/>
    <n v="2.2395200000000002"/>
    <n v="60961600"/>
  </r>
  <r>
    <x v="2140"/>
    <n v="3.5859380000000001"/>
    <n v="3.6328130000000001"/>
    <n v="3.5625"/>
    <x v="924"/>
    <n v="2.2469030000000001"/>
    <n v="56625600"/>
  </r>
  <r>
    <x v="2141"/>
    <n v="3.5625"/>
    <n v="3.65625"/>
    <n v="3.5390630000000001"/>
    <x v="925"/>
    <n v="2.2985850000000001"/>
    <n v="39851200"/>
  </r>
  <r>
    <x v="2142"/>
    <n v="3.6484380000000001"/>
    <n v="3.703125"/>
    <n v="3.609375"/>
    <x v="926"/>
    <n v="2.2887390000000001"/>
    <n v="60968000"/>
  </r>
  <r>
    <x v="2143"/>
    <n v="3.5625"/>
    <n v="3.5625"/>
    <n v="3.484375"/>
    <x v="927"/>
    <n v="2.2099890000000002"/>
    <n v="115568000"/>
  </r>
  <r>
    <x v="2144"/>
    <n v="3.53125"/>
    <n v="3.53125"/>
    <n v="3.484375"/>
    <x v="928"/>
    <n v="2.205066"/>
    <n v="46964800"/>
  </r>
  <r>
    <x v="2145"/>
    <n v="3.4921880000000001"/>
    <n v="3.515625"/>
    <n v="3.4804689999999998"/>
    <x v="928"/>
    <n v="2.205066"/>
    <n v="28804800"/>
  </r>
  <r>
    <x v="2146"/>
    <n v="3.515625"/>
    <n v="3.6132810000000002"/>
    <n v="3.5078130000000001"/>
    <x v="923"/>
    <n v="2.2395200000000002"/>
    <n v="43588800"/>
  </r>
  <r>
    <x v="2147"/>
    <n v="3.5625"/>
    <n v="3.625"/>
    <n v="3.5625"/>
    <x v="929"/>
    <n v="2.281358"/>
    <n v="28377600"/>
  </r>
  <r>
    <x v="2148"/>
    <n v="3.5078130000000001"/>
    <n v="3.6171880000000001"/>
    <n v="3.4921880000000001"/>
    <x v="923"/>
    <n v="2.2395200000000002"/>
    <n v="60800000"/>
  </r>
  <r>
    <x v="2149"/>
    <n v="3.5703130000000001"/>
    <n v="3.5703130000000001"/>
    <n v="3.4921880000000001"/>
    <x v="927"/>
    <n v="2.2099890000000002"/>
    <n v="36238400"/>
  </r>
  <r>
    <x v="2150"/>
    <n v="3.5234380000000001"/>
    <n v="3.6171880000000001"/>
    <n v="3.5234380000000001"/>
    <x v="930"/>
    <n v="2.266591"/>
    <n v="41134400"/>
  </r>
  <r>
    <x v="2151"/>
    <n v="3.609375"/>
    <n v="3.6328130000000001"/>
    <n v="3.59375"/>
    <x v="931"/>
    <n v="2.269053"/>
    <n v="29968000"/>
  </r>
  <r>
    <x v="2152"/>
    <n v="3.6015630000000001"/>
    <n v="3.640625"/>
    <n v="3.5859380000000001"/>
    <x v="932"/>
    <n v="2.293663"/>
    <n v="40640000"/>
  </r>
  <r>
    <x v="2153"/>
    <n v="3.625"/>
    <n v="3.6328130000000001"/>
    <n v="3.546875"/>
    <x v="923"/>
    <n v="2.2395200000000002"/>
    <n v="52921600"/>
  </r>
  <r>
    <x v="2154"/>
    <n v="3.5703130000000001"/>
    <n v="3.578125"/>
    <n v="3.5390630000000001"/>
    <x v="923"/>
    <n v="2.2395200000000002"/>
    <n v="48350400"/>
  </r>
  <r>
    <x v="2155"/>
    <n v="3.5546880000000001"/>
    <n v="3.5703130000000001"/>
    <n v="3.4960939999999998"/>
    <x v="928"/>
    <n v="2.205066"/>
    <n v="40276800"/>
  </r>
  <r>
    <x v="2156"/>
    <n v="3.5195310000000002"/>
    <n v="3.5859380000000001"/>
    <n v="3.4375"/>
    <x v="933"/>
    <n v="2.2542870000000002"/>
    <n v="82948800"/>
  </r>
  <r>
    <x v="2157"/>
    <n v="3.578125"/>
    <n v="3.59375"/>
    <n v="3.5390630000000001"/>
    <x v="934"/>
    <n v="2.2444419999999998"/>
    <n v="44320000"/>
  </r>
  <r>
    <x v="2158"/>
    <n v="3.5546880000000001"/>
    <n v="3.59375"/>
    <n v="3.5"/>
    <x v="928"/>
    <n v="2.205066"/>
    <n v="48371200"/>
  </r>
  <r>
    <x v="2159"/>
    <n v="3.5"/>
    <n v="3.5"/>
    <n v="3.453125"/>
    <x v="935"/>
    <n v="2.1878380000000002"/>
    <n v="29921600"/>
  </r>
  <r>
    <x v="2160"/>
    <n v="3.46875"/>
    <n v="3.53125"/>
    <n v="3.4296880000000001"/>
    <x v="936"/>
    <n v="2.2247539999999999"/>
    <n v="50585600"/>
  </r>
  <r>
    <x v="2161"/>
    <n v="3.5390630000000001"/>
    <n v="3.59375"/>
    <n v="3.53125"/>
    <x v="934"/>
    <n v="2.2444419999999998"/>
    <n v="33355200"/>
  </r>
  <r>
    <x v="2162"/>
    <n v="3.5546880000000001"/>
    <n v="3.578125"/>
    <n v="3.5234380000000001"/>
    <x v="936"/>
    <n v="2.2247539999999999"/>
    <n v="27105600"/>
  </r>
  <r>
    <x v="2163"/>
    <n v="3.53125"/>
    <n v="3.59375"/>
    <n v="3.5078130000000001"/>
    <x v="927"/>
    <n v="2.2099890000000002"/>
    <n v="34608000"/>
  </r>
  <r>
    <x v="2164"/>
    <n v="3.5078130000000001"/>
    <n v="3.5234380000000001"/>
    <n v="3.46875"/>
    <x v="918"/>
    <n v="2.2001439999999999"/>
    <n v="28833600"/>
  </r>
  <r>
    <x v="2165"/>
    <n v="3.5"/>
    <n v="3.5078130000000001"/>
    <n v="3.4296880000000001"/>
    <x v="937"/>
    <n v="2.1656900000000001"/>
    <n v="42622400"/>
  </r>
  <r>
    <x v="2166"/>
    <n v="3.4296880000000001"/>
    <n v="3.4921880000000001"/>
    <n v="3.3828130000000001"/>
    <x v="919"/>
    <n v="2.185378"/>
    <n v="50985600"/>
  </r>
  <r>
    <x v="2167"/>
    <n v="3.46875"/>
    <n v="3.4921880000000001"/>
    <n v="3.390625"/>
    <x v="887"/>
    <n v="2.146001"/>
    <n v="40790400"/>
  </r>
  <r>
    <x v="2168"/>
    <n v="3.4140630000000001"/>
    <n v="3.4296880000000001"/>
    <n v="3.3671880000000001"/>
    <x v="938"/>
    <n v="2.1410809999999998"/>
    <n v="51518400"/>
  </r>
  <r>
    <x v="2169"/>
    <n v="3.3984380000000001"/>
    <n v="3.4609380000000001"/>
    <n v="3.3984380000000001"/>
    <x v="939"/>
    <n v="2.1558459999999999"/>
    <n v="39480000"/>
  </r>
  <r>
    <x v="2170"/>
    <n v="3.4453130000000001"/>
    <n v="3.5390630000000001"/>
    <n v="3.4453130000000001"/>
    <x v="940"/>
    <n v="2.1976830000000001"/>
    <n v="55692800"/>
  </r>
  <r>
    <x v="2171"/>
    <n v="3.4921880000000001"/>
    <n v="3.53125"/>
    <n v="3.484375"/>
    <x v="941"/>
    <n v="2.2149109999999999"/>
    <n v="27912000"/>
  </r>
  <r>
    <x v="2172"/>
    <n v="3.5390630000000001"/>
    <n v="3.609375"/>
    <n v="3.5390630000000001"/>
    <x v="933"/>
    <n v="2.2542870000000002"/>
    <n v="63033600"/>
  </r>
  <r>
    <x v="2173"/>
    <n v="3.578125"/>
    <n v="3.5859380000000001"/>
    <n v="3.4492189999999998"/>
    <x v="942"/>
    <n v="2.2026059999999998"/>
    <n v="99878400"/>
  </r>
  <r>
    <x v="2174"/>
    <n v="3.5"/>
    <n v="3.515625"/>
    <n v="3.4375"/>
    <x v="943"/>
    <n v="2.1706129999999999"/>
    <n v="31160000"/>
  </r>
  <r>
    <x v="2175"/>
    <n v="3.453125"/>
    <n v="3.546875"/>
    <n v="3.4414060000000002"/>
    <x v="944"/>
    <n v="2.229676"/>
    <n v="52686400"/>
  </r>
  <r>
    <x v="2176"/>
    <n v="3.5390630000000001"/>
    <n v="3.625"/>
    <n v="3.515625"/>
    <x v="931"/>
    <n v="2.269053"/>
    <n v="59488000"/>
  </r>
  <r>
    <x v="2177"/>
    <n v="3.640625"/>
    <n v="3.7421880000000001"/>
    <n v="3.6171880000000001"/>
    <x v="945"/>
    <n v="2.3478050000000001"/>
    <n v="136558400"/>
  </r>
  <r>
    <x v="2178"/>
    <n v="3.703125"/>
    <n v="3.7265630000000001"/>
    <n v="3.6484380000000001"/>
    <x v="946"/>
    <n v="2.337961"/>
    <n v="67099200"/>
  </r>
  <r>
    <x v="2179"/>
    <n v="3.71875"/>
    <n v="3.71875"/>
    <n v="3.6484380000000001"/>
    <x v="947"/>
    <n v="2.318273"/>
    <n v="57145600"/>
  </r>
  <r>
    <x v="2180"/>
    <n v="3.671875"/>
    <n v="3.734375"/>
    <n v="3.6484380000000001"/>
    <x v="948"/>
    <n v="2.350266"/>
    <n v="44780800"/>
  </r>
  <r>
    <x v="2181"/>
    <n v="3.7421880000000001"/>
    <n v="3.8203130000000001"/>
    <n v="3.734375"/>
    <x v="949"/>
    <n v="2.4019469999999998"/>
    <n v="97904000"/>
  </r>
  <r>
    <x v="2182"/>
    <n v="3.8203130000000001"/>
    <n v="3.8515630000000001"/>
    <n v="3.796875"/>
    <x v="950"/>
    <n v="2.426558"/>
    <n v="41238400"/>
  </r>
  <r>
    <x v="2183"/>
    <n v="3.8515630000000001"/>
    <n v="3.8984380000000001"/>
    <n v="3.8359380000000001"/>
    <x v="951"/>
    <n v="2.4462459999999999"/>
    <n v="58414400"/>
  </r>
  <r>
    <x v="2184"/>
    <n v="3.890625"/>
    <n v="3.984375"/>
    <n v="3.875"/>
    <x v="952"/>
    <n v="2.480699"/>
    <n v="59932800"/>
  </r>
  <r>
    <x v="2185"/>
    <n v="3.921875"/>
    <n v="3.9296880000000001"/>
    <n v="3.8828130000000001"/>
    <x v="953"/>
    <n v="2.4708549999999998"/>
    <n v="39624000"/>
  </r>
  <r>
    <x v="2186"/>
    <n v="3.921875"/>
    <n v="4.0078129999999996"/>
    <n v="3.90625"/>
    <x v="952"/>
    <n v="2.480699"/>
    <n v="61408000"/>
  </r>
  <r>
    <x v="2187"/>
    <n v="3.9375"/>
    <n v="3.953125"/>
    <n v="3.8984380000000001"/>
    <x v="954"/>
    <n v="2.4659330000000002"/>
    <n v="63441600"/>
  </r>
  <r>
    <x v="2188"/>
    <n v="3.9140630000000001"/>
    <n v="3.9453130000000001"/>
    <n v="3.8320310000000002"/>
    <x v="955"/>
    <n v="2.4216350000000002"/>
    <n v="46947200"/>
  </r>
  <r>
    <x v="2189"/>
    <n v="3.84375"/>
    <n v="3.875"/>
    <n v="3.8046880000000001"/>
    <x v="956"/>
    <n v="2.436401"/>
    <n v="47094400"/>
  </r>
  <r>
    <x v="2190"/>
    <n v="3.8671880000000001"/>
    <n v="3.9921880000000001"/>
    <n v="3.8554689999999998"/>
    <x v="957"/>
    <n v="2.5053100000000001"/>
    <n v="43328000"/>
  </r>
  <r>
    <x v="2191"/>
    <n v="4.015625"/>
    <n v="4.0390629999999996"/>
    <n v="3.9453130000000001"/>
    <x v="958"/>
    <n v="2.5102310000000001"/>
    <n v="60206400"/>
  </r>
  <r>
    <x v="2192"/>
    <n v="3.96875"/>
    <n v="4.0234379999999996"/>
    <n v="3.96875"/>
    <x v="959"/>
    <n v="2.5077699999999998"/>
    <n v="24689600"/>
  </r>
  <r>
    <x v="2193"/>
    <n v="3.890625"/>
    <n v="3.9179689999999998"/>
    <n v="3.796875"/>
    <x v="960"/>
    <n v="2.451168"/>
    <n v="132899200"/>
  </r>
  <r>
    <x v="2194"/>
    <n v="3.921875"/>
    <n v="4.03125"/>
    <n v="3.921875"/>
    <x v="961"/>
    <n v="2.5397639999999999"/>
    <n v="48934400"/>
  </r>
  <r>
    <x v="2195"/>
    <n v="4.03125"/>
    <n v="4.0703129999999996"/>
    <n v="4.015625"/>
    <x v="962"/>
    <n v="2.5422250000000002"/>
    <n v="52544000"/>
  </r>
  <r>
    <x v="2196"/>
    <n v="4.046875"/>
    <n v="4.0546879999999996"/>
    <n v="4.03125"/>
    <x v="963"/>
    <n v="2.5446870000000001"/>
    <n v="30196800"/>
  </r>
  <r>
    <x v="2197"/>
    <n v="4.0390629999999996"/>
    <n v="4.046875"/>
    <n v="3.9921880000000001"/>
    <x v="964"/>
    <n v="2.529919"/>
    <n v="33232000"/>
  </r>
  <r>
    <x v="2198"/>
    <n v="4.0078129999999996"/>
    <n v="4.046875"/>
    <n v="4"/>
    <x v="965"/>
    <n v="2.5249969999999999"/>
    <n v="25694400"/>
  </r>
  <r>
    <x v="2199"/>
    <n v="4.03125"/>
    <n v="4.046875"/>
    <n v="3.9609380000000001"/>
    <x v="966"/>
    <n v="2.5003869999999999"/>
    <n v="35560000"/>
  </r>
  <r>
    <x v="2200"/>
    <n v="3.953125"/>
    <n v="3.9921880000000001"/>
    <n v="3.8671880000000001"/>
    <x v="967"/>
    <n v="2.441322"/>
    <n v="56358400"/>
  </r>
  <r>
    <x v="2201"/>
    <n v="3.8515630000000001"/>
    <n v="3.8789060000000002"/>
    <n v="3.8164060000000002"/>
    <x v="955"/>
    <n v="2.4216350000000002"/>
    <n v="87507200"/>
  </r>
  <r>
    <x v="2202"/>
    <n v="3.859375"/>
    <n v="3.8984380000000001"/>
    <n v="3.8515630000000001"/>
    <x v="960"/>
    <n v="2.451168"/>
    <n v="12563200"/>
  </r>
  <r>
    <x v="2203"/>
    <n v="3.90625"/>
    <n v="3.96875"/>
    <n v="3.890625"/>
    <x v="968"/>
    <n v="2.495466"/>
    <n v="43449600"/>
  </r>
  <r>
    <x v="2204"/>
    <n v="3.9765630000000001"/>
    <n v="4.0234379999999996"/>
    <n v="3.96875"/>
    <x v="965"/>
    <n v="2.5249969999999999"/>
    <n v="37673600"/>
  </r>
  <r>
    <x v="2205"/>
    <n v="4.015625"/>
    <n v="4.015625"/>
    <n v="3.921875"/>
    <x v="969"/>
    <n v="2.4757790000000002"/>
    <n v="40934400"/>
  </r>
  <r>
    <x v="2206"/>
    <n v="3.9140630000000001"/>
    <n v="3.9628909999999999"/>
    <n v="3.90625"/>
    <x v="970"/>
    <n v="2.4634719999999999"/>
    <n v="43096000"/>
  </r>
  <r>
    <x v="2207"/>
    <n v="3.921875"/>
    <n v="3.953125"/>
    <n v="3.875"/>
    <x v="971"/>
    <n v="2.4905430000000002"/>
    <n v="37715200"/>
  </r>
  <r>
    <x v="2208"/>
    <n v="3.9609380000000001"/>
    <n v="4.015625"/>
    <n v="3.9453130000000001"/>
    <x v="972"/>
    <n v="2.493004"/>
    <n v="38166400"/>
  </r>
  <r>
    <x v="2209"/>
    <n v="3.953125"/>
    <n v="4.0078129999999996"/>
    <n v="3.9375"/>
    <x v="968"/>
    <n v="2.495466"/>
    <n v="38830400"/>
  </r>
  <r>
    <x v="2210"/>
    <n v="3.96875"/>
    <n v="3.9921880000000001"/>
    <n v="3.9375"/>
    <x v="952"/>
    <n v="2.480699"/>
    <n v="36744000"/>
  </r>
  <r>
    <x v="2211"/>
    <n v="3.9453130000000001"/>
    <n v="3.984375"/>
    <n v="3.890625"/>
    <x v="973"/>
    <n v="2.4610110000000001"/>
    <n v="41934400"/>
  </r>
  <r>
    <x v="2212"/>
    <n v="3.90625"/>
    <n v="3.953125"/>
    <n v="3.890625"/>
    <x v="974"/>
    <n v="2.4856210000000001"/>
    <n v="79956800"/>
  </r>
  <r>
    <x v="2213"/>
    <n v="3.9453130000000001"/>
    <n v="3.96875"/>
    <n v="3.8515630000000001"/>
    <x v="974"/>
    <n v="2.4856210000000001"/>
    <n v="65313600"/>
  </r>
  <r>
    <x v="2214"/>
    <n v="3.9609380000000001"/>
    <n v="3.96875"/>
    <n v="3.890625"/>
    <x v="953"/>
    <n v="2.4708549999999998"/>
    <n v="30219200"/>
  </r>
  <r>
    <x v="2215"/>
    <n v="3.90625"/>
    <n v="3.9765630000000001"/>
    <n v="3.90625"/>
    <x v="971"/>
    <n v="2.4905430000000002"/>
    <n v="33641600"/>
  </r>
  <r>
    <x v="2216"/>
    <n v="3.9609380000000001"/>
    <n v="4.0078129999999996"/>
    <n v="3.9375"/>
    <x v="966"/>
    <n v="2.5003869999999999"/>
    <n v="28854400"/>
  </r>
  <r>
    <x v="2217"/>
    <n v="3.9765630000000001"/>
    <n v="4.015625"/>
    <n v="3.9501949999999999"/>
    <x v="968"/>
    <n v="2.495466"/>
    <n v="54020800"/>
  </r>
  <r>
    <x v="2218"/>
    <n v="3.9609380000000001"/>
    <n v="3.9765630000000001"/>
    <n v="3.90625"/>
    <x v="954"/>
    <n v="2.4659330000000002"/>
    <n v="31507200"/>
  </r>
  <r>
    <x v="2219"/>
    <n v="3.9140630000000001"/>
    <n v="3.921875"/>
    <n v="3.671875"/>
    <x v="975"/>
    <n v="2.3576489999999999"/>
    <n v="253456000"/>
  </r>
  <r>
    <x v="2220"/>
    <n v="3.765625"/>
    <n v="3.8515630000000001"/>
    <n v="3.7578130000000001"/>
    <x v="955"/>
    <n v="2.4216350000000002"/>
    <n v="69395200"/>
  </r>
  <r>
    <x v="2221"/>
    <n v="3.84375"/>
    <n v="3.875"/>
    <n v="3.765625"/>
    <x v="976"/>
    <n v="2.387181"/>
    <n v="57355200"/>
  </r>
  <r>
    <x v="2222"/>
    <n v="3.7890630000000001"/>
    <n v="3.8359380000000001"/>
    <n v="3.7734380000000001"/>
    <x v="977"/>
    <n v="2.3970250000000002"/>
    <n v="19486400"/>
  </r>
  <r>
    <x v="2223"/>
    <n v="3.8125"/>
    <n v="3.8515630000000001"/>
    <n v="3.7890630000000001"/>
    <x v="978"/>
    <n v="2.3921030000000001"/>
    <n v="20566400"/>
  </r>
  <r>
    <x v="2224"/>
    <n v="3.796875"/>
    <n v="3.8125"/>
    <n v="3.75"/>
    <x v="949"/>
    <n v="2.4019469999999998"/>
    <n v="34961600"/>
  </r>
  <r>
    <x v="2225"/>
    <n v="3.8046880000000001"/>
    <n v="3.8671880000000001"/>
    <n v="3.7890630000000001"/>
    <x v="979"/>
    <n v="2.4339400000000002"/>
    <n v="23446400"/>
  </r>
  <r>
    <x v="2226"/>
    <n v="3.8671880000000001"/>
    <n v="3.8671880000000001"/>
    <n v="3.8203130000000001"/>
    <x v="980"/>
    <n v="2.4068689999999999"/>
    <n v="20686400"/>
  </r>
  <r>
    <x v="2227"/>
    <n v="3.84375"/>
    <n v="3.84375"/>
    <n v="3.7578130000000001"/>
    <x v="981"/>
    <n v="2.3699539999999999"/>
    <n v="39545600"/>
  </r>
  <r>
    <x v="2228"/>
    <n v="3.765625"/>
    <n v="3.796875"/>
    <n v="3.71875"/>
    <x v="976"/>
    <n v="2.387181"/>
    <n v="51611200"/>
  </r>
  <r>
    <x v="2229"/>
    <n v="3.8046880000000001"/>
    <n v="3.8125"/>
    <n v="3.7109380000000001"/>
    <x v="945"/>
    <n v="2.3478050000000001"/>
    <n v="39824000"/>
  </r>
  <r>
    <x v="2230"/>
    <n v="3.7421880000000001"/>
    <n v="3.828125"/>
    <n v="3.734375"/>
    <x v="976"/>
    <n v="2.387181"/>
    <n v="46681600"/>
  </r>
  <r>
    <x v="2231"/>
    <n v="3.8046880000000001"/>
    <n v="3.8125"/>
    <n v="3.734375"/>
    <x v="982"/>
    <n v="2.3724159999999999"/>
    <n v="46000000"/>
  </r>
  <r>
    <x v="2232"/>
    <n v="3.7890630000000001"/>
    <n v="3.84375"/>
    <n v="3.78125"/>
    <x v="949"/>
    <n v="2.4019469999999998"/>
    <n v="42184000"/>
  </r>
  <r>
    <x v="2233"/>
    <n v="3.8203130000000001"/>
    <n v="3.859375"/>
    <n v="3.796875"/>
    <x v="983"/>
    <n v="2.4167139999999998"/>
    <n v="31512000"/>
  </r>
  <r>
    <x v="2234"/>
    <n v="3.828125"/>
    <n v="3.8828130000000001"/>
    <n v="3.8125"/>
    <x v="984"/>
    <n v="2.411791"/>
    <n v="26996800"/>
  </r>
  <r>
    <x v="2235"/>
    <n v="3.875"/>
    <n v="3.9375"/>
    <n v="3.8671880000000001"/>
    <x v="953"/>
    <n v="2.4708549999999998"/>
    <n v="41307200"/>
  </r>
  <r>
    <x v="2236"/>
    <n v="3.953125"/>
    <n v="4.03125"/>
    <n v="3.9375"/>
    <x v="965"/>
    <n v="2.5249969999999999"/>
    <n v="74648000"/>
  </r>
  <r>
    <x v="2237"/>
    <n v="4.046875"/>
    <n v="4.0703129999999996"/>
    <n v="4.0234379999999996"/>
    <x v="963"/>
    <n v="2.5446870000000001"/>
    <n v="73932800"/>
  </r>
  <r>
    <x v="2238"/>
    <n v="4.0546879999999996"/>
    <n v="4.078125"/>
    <n v="4.015625"/>
    <x v="985"/>
    <n v="2.5619130000000001"/>
    <n v="50504000"/>
  </r>
  <r>
    <x v="2239"/>
    <n v="4.03125"/>
    <n v="4.0625"/>
    <n v="3.9648439999999998"/>
    <x v="966"/>
    <n v="2.5003869999999999"/>
    <n v="67108800"/>
  </r>
  <r>
    <x v="2240"/>
    <n v="3.9296880000000001"/>
    <n v="3.96875"/>
    <n v="3.828125"/>
    <x v="950"/>
    <n v="2.426558"/>
    <n v="82388800"/>
  </r>
  <r>
    <x v="2241"/>
    <n v="3.8125"/>
    <n v="3.9375"/>
    <n v="3.78125"/>
    <x v="986"/>
    <n v="2.4733149999999999"/>
    <n v="53843200"/>
  </r>
  <r>
    <x v="2242"/>
    <n v="3.9375"/>
    <n v="3.9453130000000001"/>
    <n v="3.875"/>
    <x v="987"/>
    <n v="2.4419390000000001"/>
    <n v="36739200"/>
  </r>
  <r>
    <x v="2243"/>
    <n v="3.8515630000000001"/>
    <n v="3.890625"/>
    <n v="3.8125"/>
    <x v="988"/>
    <n v="2.4314789999999999"/>
    <n v="52459200"/>
  </r>
  <r>
    <x v="2244"/>
    <n v="3.8046880000000001"/>
    <n v="3.8125"/>
    <n v="3.734375"/>
    <x v="975"/>
    <n v="2.3576489999999999"/>
    <n v="80836800"/>
  </r>
  <r>
    <x v="2245"/>
    <n v="3.7578130000000001"/>
    <n v="3.765625"/>
    <n v="3.734375"/>
    <x v="975"/>
    <n v="2.3576489999999999"/>
    <n v="58376000"/>
  </r>
  <r>
    <x v="2246"/>
    <n v="3.7578130000000001"/>
    <n v="3.7578130000000001"/>
    <n v="3.6796880000000001"/>
    <x v="989"/>
    <n v="2.323194"/>
    <n v="55164800"/>
  </r>
  <r>
    <x v="2247"/>
    <n v="3.6953130000000001"/>
    <n v="3.734375"/>
    <n v="3.640625"/>
    <x v="946"/>
    <n v="2.337961"/>
    <n v="59945600"/>
  </r>
  <r>
    <x v="2248"/>
    <n v="3.7109380000000001"/>
    <n v="3.796875"/>
    <n v="3.6865230000000002"/>
    <x v="990"/>
    <n v="2.3281170000000002"/>
    <n v="66705600"/>
  </r>
  <r>
    <x v="2249"/>
    <n v="3.671875"/>
    <n v="3.7109380000000001"/>
    <n v="3.6484380000000001"/>
    <x v="989"/>
    <n v="2.323194"/>
    <n v="46312000"/>
  </r>
  <r>
    <x v="2250"/>
    <n v="3.71875"/>
    <n v="3.78125"/>
    <n v="3.703125"/>
    <x v="991"/>
    <n v="2.3674930000000001"/>
    <n v="60332800"/>
  </r>
  <r>
    <x v="2251"/>
    <n v="3.7578130000000001"/>
    <n v="3.8203130000000001"/>
    <n v="3.7578130000000001"/>
    <x v="977"/>
    <n v="2.3970250000000002"/>
    <n v="48345600"/>
  </r>
  <r>
    <x v="2252"/>
    <n v="3.796875"/>
    <n v="3.8203130000000001"/>
    <n v="3.7890630000000001"/>
    <x v="949"/>
    <n v="2.4019469999999998"/>
    <n v="33152000"/>
  </r>
  <r>
    <x v="2253"/>
    <n v="3.828125"/>
    <n v="3.875"/>
    <n v="3.8125"/>
    <x v="956"/>
    <n v="2.436401"/>
    <n v="49150400"/>
  </r>
  <r>
    <x v="2254"/>
    <n v="3.8828130000000001"/>
    <n v="3.90625"/>
    <n v="3.859375"/>
    <x v="956"/>
    <n v="2.436401"/>
    <n v="42398400"/>
  </r>
  <r>
    <x v="2255"/>
    <n v="3.875"/>
    <n v="3.9140630000000001"/>
    <n v="3.84375"/>
    <x v="967"/>
    <n v="2.441322"/>
    <n v="49862400"/>
  </r>
  <r>
    <x v="2256"/>
    <n v="3.875"/>
    <n v="3.921875"/>
    <n v="3.8515630000000001"/>
    <x v="967"/>
    <n v="2.441322"/>
    <n v="38160000"/>
  </r>
  <r>
    <x v="2257"/>
    <n v="3.8828130000000001"/>
    <n v="3.890625"/>
    <n v="3.84375"/>
    <x v="956"/>
    <n v="2.436401"/>
    <n v="31121600"/>
  </r>
  <r>
    <x v="2258"/>
    <n v="3.7578130000000001"/>
    <n v="3.8359380000000001"/>
    <n v="3.7265630000000001"/>
    <x v="978"/>
    <n v="2.3921030000000001"/>
    <n v="147001600"/>
  </r>
  <r>
    <x v="2259"/>
    <n v="3.8046880000000001"/>
    <n v="3.8203130000000001"/>
    <n v="3.765625"/>
    <x v="977"/>
    <n v="2.3970250000000002"/>
    <n v="56744000"/>
  </r>
  <r>
    <x v="2260"/>
    <n v="3.796875"/>
    <n v="3.8046880000000001"/>
    <n v="3.765625"/>
    <x v="992"/>
    <n v="2.3773369999999998"/>
    <n v="37824000"/>
  </r>
  <r>
    <x v="2261"/>
    <n v="3.78125"/>
    <n v="3.796875"/>
    <n v="3.71875"/>
    <x v="993"/>
    <n v="2.3527269999999998"/>
    <n v="55392000"/>
  </r>
  <r>
    <x v="2262"/>
    <n v="3.734375"/>
    <n v="3.875"/>
    <n v="3.7265630000000001"/>
    <x v="955"/>
    <n v="2.4216350000000002"/>
    <n v="60902400"/>
  </r>
  <r>
    <x v="2263"/>
    <n v="3.828125"/>
    <n v="3.8828130000000001"/>
    <n v="3.8125"/>
    <x v="950"/>
    <n v="2.426558"/>
    <n v="59939200"/>
  </r>
  <r>
    <x v="2264"/>
    <n v="3.8359380000000001"/>
    <n v="3.8671880000000001"/>
    <n v="3.828125"/>
    <x v="984"/>
    <n v="2.411791"/>
    <n v="34177600"/>
  </r>
  <r>
    <x v="2265"/>
    <n v="3.8359380000000001"/>
    <n v="3.875"/>
    <n v="3.8203130000000001"/>
    <x v="988"/>
    <n v="2.4314789999999999"/>
    <n v="28592000"/>
  </r>
  <r>
    <x v="2266"/>
    <n v="3.8671880000000001"/>
    <n v="3.953125"/>
    <n v="3.859375"/>
    <x v="952"/>
    <n v="2.480699"/>
    <n v="52544000"/>
  </r>
  <r>
    <x v="2267"/>
    <n v="3.9453130000000001"/>
    <n v="4"/>
    <n v="3.921875"/>
    <x v="971"/>
    <n v="2.4905430000000002"/>
    <n v="52032000"/>
  </r>
  <r>
    <x v="2268"/>
    <n v="3.953125"/>
    <n v="3.984375"/>
    <n v="3.9453130000000001"/>
    <x v="958"/>
    <n v="2.5102310000000001"/>
    <n v="26038400"/>
  </r>
  <r>
    <x v="2269"/>
    <n v="3.9765630000000001"/>
    <n v="3.9921880000000001"/>
    <n v="3.9453130000000001"/>
    <x v="957"/>
    <n v="2.5053100000000001"/>
    <n v="31776000"/>
  </r>
  <r>
    <x v="2270"/>
    <n v="3.953125"/>
    <n v="4.0234379999999996"/>
    <n v="3.9296880000000001"/>
    <x v="994"/>
    <n v="2.532381"/>
    <n v="45156800"/>
  </r>
  <r>
    <x v="2271"/>
    <n v="4.0234379999999996"/>
    <n v="4.1259769999999998"/>
    <n v="4.015625"/>
    <x v="995"/>
    <n v="2.5729860000000002"/>
    <n v="91750400"/>
  </r>
  <r>
    <x v="2272"/>
    <n v="4.109375"/>
    <n v="4.2890629999999996"/>
    <n v="4.109375"/>
    <x v="996"/>
    <n v="2.6972689999999999"/>
    <n v="140096000"/>
  </r>
  <r>
    <x v="2273"/>
    <n v="4.28125"/>
    <n v="4.296875"/>
    <n v="4.1796879999999996"/>
    <x v="997"/>
    <n v="2.6726580000000002"/>
    <n v="58238400"/>
  </r>
  <r>
    <x v="2274"/>
    <n v="4.2421879999999996"/>
    <n v="4.296875"/>
    <n v="4.15625"/>
    <x v="998"/>
    <n v="2.699729"/>
    <n v="44324800"/>
  </r>
  <r>
    <x v="2275"/>
    <n v="4.2890629999999996"/>
    <n v="4.3554690000000003"/>
    <n v="4.265625"/>
    <x v="999"/>
    <n v="2.7169569999999998"/>
    <n v="34550400"/>
  </r>
  <r>
    <x v="2276"/>
    <n v="4.3359379999999996"/>
    <n v="4.5"/>
    <n v="4.328125"/>
    <x v="1000"/>
    <n v="2.8252419999999998"/>
    <n v="78643200"/>
  </r>
  <r>
    <x v="2277"/>
    <n v="4.484375"/>
    <n v="4.4921879999999996"/>
    <n v="4.3984379999999996"/>
    <x v="1001"/>
    <n v="2.7760210000000001"/>
    <n v="57294400"/>
  </r>
  <r>
    <x v="2278"/>
    <n v="4.375"/>
    <n v="4.40625"/>
    <n v="4.3515629999999996"/>
    <x v="1002"/>
    <n v="2.7612559999999999"/>
    <n v="47510400"/>
  </r>
  <r>
    <x v="2279"/>
    <n v="4.40625"/>
    <n v="4.484375"/>
    <n v="4.3671879999999996"/>
    <x v="1003"/>
    <n v="2.753873"/>
    <n v="59868800"/>
  </r>
  <r>
    <x v="2280"/>
    <n v="4.3828129999999996"/>
    <n v="4.46875"/>
    <n v="4.375"/>
    <x v="1004"/>
    <n v="2.8006310000000001"/>
    <n v="37772800"/>
  </r>
  <r>
    <x v="2281"/>
    <n v="4.453125"/>
    <n v="4.46875"/>
    <n v="4.3984379999999996"/>
    <x v="1005"/>
    <n v="2.7735599999999998"/>
    <n v="74772800"/>
  </r>
  <r>
    <x v="2282"/>
    <n v="4.40625"/>
    <n v="4.4375"/>
    <n v="4.3671879999999996"/>
    <x v="1006"/>
    <n v="2.7932480000000002"/>
    <n v="52464000"/>
  </r>
  <r>
    <x v="2283"/>
    <n v="4.4609379999999996"/>
    <n v="4.578125"/>
    <n v="4.453125"/>
    <x v="1007"/>
    <n v="2.864617"/>
    <n v="105286400"/>
  </r>
  <r>
    <x v="2284"/>
    <n v="4.578125"/>
    <n v="4.6328129999999996"/>
    <n v="4.5703129999999996"/>
    <x v="1008"/>
    <n v="2.9089160000000001"/>
    <n v="65683200"/>
  </r>
  <r>
    <x v="2285"/>
    <n v="4.546875"/>
    <n v="4.6171879999999996"/>
    <n v="4.5390629999999996"/>
    <x v="1009"/>
    <n v="2.8744619999999999"/>
    <n v="61008000"/>
  </r>
  <r>
    <x v="2286"/>
    <n v="4.5546879999999996"/>
    <n v="4.625"/>
    <n v="4.5546879999999996"/>
    <x v="1010"/>
    <n v="2.8990719999999999"/>
    <n v="47603200"/>
  </r>
  <r>
    <x v="2287"/>
    <n v="4.6015629999999996"/>
    <n v="4.625"/>
    <n v="4.5039059999999997"/>
    <x v="1011"/>
    <n v="2.8449300000000002"/>
    <n v="65763200"/>
  </r>
  <r>
    <x v="2288"/>
    <n v="4.53125"/>
    <n v="4.546875"/>
    <n v="4.3984379999999996"/>
    <x v="1012"/>
    <n v="2.8400069999999999"/>
    <n v="75011200"/>
  </r>
  <r>
    <x v="2289"/>
    <n v="4.484375"/>
    <n v="4.5078129999999996"/>
    <n v="4.40625"/>
    <x v="1004"/>
    <n v="2.8006310000000001"/>
    <n v="63080000"/>
  </r>
  <r>
    <x v="2290"/>
    <n v="4.4375"/>
    <n v="4.4609379999999996"/>
    <n v="4.34375"/>
    <x v="1013"/>
    <n v="2.7563330000000001"/>
    <n v="65617600"/>
  </r>
  <r>
    <x v="2291"/>
    <n v="4.390625"/>
    <n v="4.46875"/>
    <n v="4.359375"/>
    <x v="1014"/>
    <n v="2.7514110000000001"/>
    <n v="66689600"/>
  </r>
  <r>
    <x v="2292"/>
    <n v="4.3671879999999996"/>
    <n v="4.4140629999999996"/>
    <n v="4.296875"/>
    <x v="1015"/>
    <n v="2.7809439999999999"/>
    <n v="65792000"/>
  </r>
  <r>
    <x v="2293"/>
    <n v="4.4140629999999996"/>
    <n v="4.4296879999999996"/>
    <n v="4.3398440000000003"/>
    <x v="1013"/>
    <n v="2.7563330000000001"/>
    <n v="35414400"/>
  </r>
  <r>
    <x v="2294"/>
    <n v="4.390625"/>
    <n v="4.421875"/>
    <n v="4.34375"/>
    <x v="1016"/>
    <n v="2.7415669999999999"/>
    <n v="43148800"/>
  </r>
  <r>
    <x v="2295"/>
    <n v="4.34375"/>
    <n v="4.453125"/>
    <n v="4.3359379999999996"/>
    <x v="1006"/>
    <n v="2.7932480000000002"/>
    <n v="43169600"/>
  </r>
  <r>
    <x v="2296"/>
    <n v="4.4765629999999996"/>
    <n v="4.5087890000000002"/>
    <n v="4.4453129999999996"/>
    <x v="1012"/>
    <n v="2.8400069999999999"/>
    <n v="43624000"/>
  </r>
  <r>
    <x v="2297"/>
    <n v="4.5078129999999996"/>
    <n v="4.578125"/>
    <n v="4.421875"/>
    <x v="1017"/>
    <n v="2.8203200000000002"/>
    <n v="40430400"/>
  </r>
  <r>
    <x v="2298"/>
    <n v="4.484375"/>
    <n v="4.53125"/>
    <n v="4.4453129999999996"/>
    <x v="1018"/>
    <n v="2.8547729999999998"/>
    <n v="32814400"/>
  </r>
  <r>
    <x v="2299"/>
    <n v="4.71875"/>
    <n v="4.8828129999999996"/>
    <n v="4.71875"/>
    <x v="1019"/>
    <n v="3.0467330000000001"/>
    <n v="187913600"/>
  </r>
  <r>
    <x v="2300"/>
    <n v="4.8359379999999996"/>
    <n v="4.84375"/>
    <n v="4.75"/>
    <x v="1020"/>
    <n v="3.022122"/>
    <n v="75609600"/>
  </r>
  <r>
    <x v="2301"/>
    <n v="4.7890629999999996"/>
    <n v="4.8125"/>
    <n v="4.71875"/>
    <x v="1021"/>
    <n v="2.9975130000000001"/>
    <n v="59163200"/>
  </r>
  <r>
    <x v="2302"/>
    <n v="4.78125"/>
    <n v="4.8046879999999996"/>
    <n v="4.625"/>
    <x v="1022"/>
    <n v="2.9630580000000002"/>
    <n v="83913600"/>
  </r>
  <r>
    <x v="2303"/>
    <n v="4.7265629999999996"/>
    <n v="4.7421879999999996"/>
    <n v="4.6796879999999996"/>
    <x v="1023"/>
    <n v="2.9532120000000002"/>
    <n v="53555200"/>
  </r>
  <r>
    <x v="2304"/>
    <n v="4.7109379999999996"/>
    <n v="4.8603519999999998"/>
    <n v="4.6953129999999996"/>
    <x v="1024"/>
    <n v="3.0614979999999998"/>
    <n v="68089600"/>
  </r>
  <r>
    <x v="2305"/>
    <n v="4.8515629999999996"/>
    <n v="5.0078129999999996"/>
    <n v="4.8515629999999996"/>
    <x v="1025"/>
    <n v="3.1500949999999999"/>
    <n v="69371200"/>
  </r>
  <r>
    <x v="2306"/>
    <n v="4.984375"/>
    <n v="5.015625"/>
    <n v="4.9453129999999996"/>
    <x v="1026"/>
    <n v="3.135329"/>
    <n v="44305600"/>
  </r>
  <r>
    <x v="2307"/>
    <n v="4.9765629999999996"/>
    <n v="5.03125"/>
    <n v="4.7734379999999996"/>
    <x v="1027"/>
    <n v="3.0959530000000002"/>
    <n v="128844800"/>
  </r>
  <r>
    <x v="2308"/>
    <n v="4.9296879999999996"/>
    <n v="5.1328129999999996"/>
    <n v="4.9140629999999996"/>
    <x v="1028"/>
    <n v="3.219004"/>
    <n v="92104000"/>
  </r>
  <r>
    <x v="2309"/>
    <n v="5.1171879999999996"/>
    <n v="5.234375"/>
    <n v="5.109375"/>
    <x v="1029"/>
    <n v="3.2337699999999998"/>
    <n v="65550400"/>
  </r>
  <r>
    <x v="2310"/>
    <n v="5.1328129999999996"/>
    <n v="5.140625"/>
    <n v="4.96875"/>
    <x v="1030"/>
    <n v="3.1328670000000001"/>
    <n v="78099200"/>
  </r>
  <r>
    <x v="2311"/>
    <n v="5.015625"/>
    <n v="5.0625"/>
    <n v="5.015625"/>
    <x v="1031"/>
    <n v="3.1845490000000001"/>
    <n v="61566400"/>
  </r>
  <r>
    <x v="2312"/>
    <n v="5.09375"/>
    <n v="5.203125"/>
    <n v="5.0625"/>
    <x v="1032"/>
    <n v="3.2091569999999998"/>
    <n v="66524800"/>
  </r>
  <r>
    <x v="2313"/>
    <n v="5.0859379999999996"/>
    <n v="5.1015629999999996"/>
    <n v="4.9921879999999996"/>
    <x v="1025"/>
    <n v="3.1500949999999999"/>
    <n v="43707200"/>
  </r>
  <r>
    <x v="2314"/>
    <n v="4.9921879999999996"/>
    <n v="5.0234379999999996"/>
    <n v="4.9453129999999996"/>
    <x v="1033"/>
    <n v="3.1451720000000001"/>
    <n v="43988800"/>
  </r>
  <r>
    <x v="2315"/>
    <n v="5"/>
    <n v="5.0234379999999996"/>
    <n v="4.9453129999999996"/>
    <x v="1034"/>
    <n v="3.142712"/>
    <n v="36748800"/>
  </r>
  <r>
    <x v="2316"/>
    <n v="5.0078129999999996"/>
    <n v="5.0234379999999996"/>
    <n v="4.9296879999999996"/>
    <x v="1035"/>
    <n v="3.1205620000000001"/>
    <n v="38688000"/>
  </r>
  <r>
    <x v="2317"/>
    <n v="4.9453129999999996"/>
    <n v="5.09375"/>
    <n v="4.9375"/>
    <x v="1036"/>
    <n v="3.204237"/>
    <n v="38673600"/>
  </r>
  <r>
    <x v="2318"/>
    <n v="5.0859379999999996"/>
    <n v="5.140625"/>
    <n v="5.0234379999999996"/>
    <x v="1037"/>
    <n v="3.1796259999999998"/>
    <n v="36192000"/>
  </r>
  <r>
    <x v="2319"/>
    <n v="5.0390629999999996"/>
    <n v="5.125"/>
    <n v="4.9921879999999996"/>
    <x v="1038"/>
    <n v="3.201775"/>
    <n v="35232000"/>
  </r>
  <r>
    <x v="2320"/>
    <n v="5.09375"/>
    <n v="5.3134769999999998"/>
    <n v="5.09375"/>
    <x v="1039"/>
    <n v="3.3420550000000002"/>
    <n v="86708800"/>
  </r>
  <r>
    <x v="2321"/>
    <n v="5.328125"/>
    <n v="5.4296879999999996"/>
    <n v="5.3203129999999996"/>
    <x v="1040"/>
    <n v="3.3863500000000002"/>
    <n v="66515200"/>
  </r>
  <r>
    <x v="2322"/>
    <n v="5.3515629999999996"/>
    <n v="5.421875"/>
    <n v="5.2890629999999996"/>
    <x v="1041"/>
    <n v="3.3322099999999999"/>
    <n v="58326400"/>
  </r>
  <r>
    <x v="2323"/>
    <n v="5.265625"/>
    <n v="5.34375"/>
    <n v="5.25"/>
    <x v="1042"/>
    <n v="3.3617409999999999"/>
    <n v="45190400"/>
  </r>
  <r>
    <x v="2324"/>
    <n v="5.3359379999999996"/>
    <n v="5.46875"/>
    <n v="5.25"/>
    <x v="1043"/>
    <n v="3.4355720000000001"/>
    <n v="91382400"/>
  </r>
  <r>
    <x v="2325"/>
    <n v="5.46875"/>
    <n v="5.53125"/>
    <n v="5.3769530000000003"/>
    <x v="1044"/>
    <n v="3.4847929999999998"/>
    <n v="55516800"/>
  </r>
  <r>
    <x v="2326"/>
    <n v="5.5703129999999996"/>
    <n v="5.59375"/>
    <n v="5.4375"/>
    <x v="1045"/>
    <n v="3.4454159999999998"/>
    <n v="68684800"/>
  </r>
  <r>
    <x v="2327"/>
    <n v="5.4921879999999996"/>
    <n v="5.5859379999999996"/>
    <n v="5.4453129999999996"/>
    <x v="1046"/>
    <n v="3.5143230000000001"/>
    <n v="43440000"/>
  </r>
  <r>
    <x v="2328"/>
    <n v="5.5742190000000003"/>
    <n v="5.578125"/>
    <n v="5.4375"/>
    <x v="1045"/>
    <n v="3.4454159999999998"/>
    <n v="52934400"/>
  </r>
  <r>
    <x v="2329"/>
    <n v="5.5"/>
    <n v="5.5234379999999996"/>
    <n v="5.1640629999999996"/>
    <x v="1047"/>
    <n v="3.2682229999999999"/>
    <n v="99612800"/>
  </r>
  <r>
    <x v="2330"/>
    <n v="5.203125"/>
    <n v="5.296875"/>
    <n v="5.0625"/>
    <x v="1048"/>
    <n v="3.3346719999999999"/>
    <n v="119756800"/>
  </r>
  <r>
    <x v="2331"/>
    <n v="5.3125"/>
    <n v="5.3515629999999996"/>
    <n v="5.2421879999999996"/>
    <x v="1049"/>
    <n v="3.312522"/>
    <n v="61153600"/>
  </r>
  <r>
    <x v="2332"/>
    <n v="5.234375"/>
    <n v="5.2578129999999996"/>
    <n v="5.1640629999999996"/>
    <x v="1050"/>
    <n v="3.2731460000000001"/>
    <n v="55556800"/>
  </r>
  <r>
    <x v="2333"/>
    <n v="5.1640629999999996"/>
    <n v="5.3359379999999996"/>
    <n v="5.109375"/>
    <x v="1051"/>
    <n v="3.3371309999999998"/>
    <n v="55852800"/>
  </r>
  <r>
    <x v="2334"/>
    <n v="5.3046879999999996"/>
    <n v="5.3759769999999998"/>
    <n v="5.1953129999999996"/>
    <x v="1050"/>
    <n v="3.2731460000000001"/>
    <n v="49036800"/>
  </r>
  <r>
    <x v="2335"/>
    <n v="5.1796879999999996"/>
    <n v="5.296875"/>
    <n v="5.1328129999999996"/>
    <x v="1052"/>
    <n v="3.3075990000000002"/>
    <n v="64590400"/>
  </r>
  <r>
    <x v="2336"/>
    <n v="5.2578129999999996"/>
    <n v="5.2890629999999996"/>
    <n v="5.2265629999999996"/>
    <x v="1049"/>
    <n v="3.312522"/>
    <n v="29320000"/>
  </r>
  <r>
    <x v="2337"/>
    <n v="5.234375"/>
    <n v="5.3671879999999996"/>
    <n v="5.1640629999999996"/>
    <x v="1039"/>
    <n v="3.3420550000000002"/>
    <n v="81214400"/>
  </r>
  <r>
    <x v="2338"/>
    <n v="5.2890629999999996"/>
    <n v="5.296875"/>
    <n v="5.203125"/>
    <x v="1053"/>
    <n v="3.297755"/>
    <n v="45832000"/>
  </r>
  <r>
    <x v="2339"/>
    <n v="5.2578129999999996"/>
    <n v="5.296875"/>
    <n v="5.2109379999999996"/>
    <x v="1054"/>
    <n v="3.3026759999999999"/>
    <n v="37691200"/>
  </r>
  <r>
    <x v="2340"/>
    <n v="5.2109379999999996"/>
    <n v="5.2578129999999996"/>
    <n v="5.171875"/>
    <x v="1055"/>
    <n v="3.3002150000000001"/>
    <n v="43096000"/>
  </r>
  <r>
    <x v="2341"/>
    <n v="5.25"/>
    <n v="5.3125"/>
    <n v="5.2421879999999996"/>
    <x v="1039"/>
    <n v="3.3420550000000002"/>
    <n v="43912000"/>
  </r>
  <r>
    <x v="2342"/>
    <n v="5.3125"/>
    <n v="5.46875"/>
    <n v="5.3046879999999996"/>
    <x v="1056"/>
    <n v="3.4257279999999999"/>
    <n v="92278400"/>
  </r>
  <r>
    <x v="2343"/>
    <n v="5.453125"/>
    <n v="5.6181640000000002"/>
    <n v="5.4296879999999996"/>
    <x v="1057"/>
    <n v="3.536473"/>
    <n v="78982400"/>
  </r>
  <r>
    <x v="2344"/>
    <n v="5.6484379999999996"/>
    <n v="5.7109379999999996"/>
    <n v="5.609375"/>
    <x v="1058"/>
    <n v="3.598001"/>
    <n v="56670400"/>
  </r>
  <r>
    <x v="2345"/>
    <n v="5.7421879999999996"/>
    <n v="5.7734379999999996"/>
    <n v="5.625"/>
    <x v="1059"/>
    <n v="3.5635439999999998"/>
    <n v="57224000"/>
  </r>
  <r>
    <x v="2346"/>
    <n v="5.6640629999999996"/>
    <n v="5.75"/>
    <n v="5.6640629999999996"/>
    <x v="1060"/>
    <n v="3.6176870000000001"/>
    <n v="46296000"/>
  </r>
  <r>
    <x v="2347"/>
    <n v="5.671875"/>
    <n v="5.7617190000000003"/>
    <n v="5.640625"/>
    <x v="1061"/>
    <n v="3.5881560000000001"/>
    <n v="46356800"/>
  </r>
  <r>
    <x v="2348"/>
    <n v="5.6875"/>
    <n v="5.6953129999999996"/>
    <n v="5.59375"/>
    <x v="1062"/>
    <n v="3.5340129999999998"/>
    <n v="41048000"/>
  </r>
  <r>
    <x v="2349"/>
    <n v="5.59375"/>
    <n v="5.65625"/>
    <n v="5.421875"/>
    <x v="1063"/>
    <n v="3.4208050000000001"/>
    <n v="66004800"/>
  </r>
  <r>
    <x v="2350"/>
    <n v="5.421875"/>
    <n v="5.5625"/>
    <n v="5.3046879999999996"/>
    <x v="1064"/>
    <n v="3.4601820000000001"/>
    <n v="107286400"/>
  </r>
  <r>
    <x v="2351"/>
    <n v="5.5"/>
    <n v="5.609375"/>
    <n v="5.5"/>
    <x v="1065"/>
    <n v="3.519247"/>
    <n v="57643200"/>
  </r>
  <r>
    <x v="2352"/>
    <n v="5.6015629999999996"/>
    <n v="5.6875"/>
    <n v="5.6015629999999996"/>
    <x v="1066"/>
    <n v="3.5586229999999999"/>
    <n v="53342400"/>
  </r>
  <r>
    <x v="2353"/>
    <n v="5.6796879999999996"/>
    <n v="5.6953129999999996"/>
    <n v="5.6484379999999996"/>
    <x v="1067"/>
    <n v="3.5807720000000001"/>
    <n v="16763200"/>
  </r>
  <r>
    <x v="2354"/>
    <n v="5.7265629999999996"/>
    <n v="5.75"/>
    <n v="5.6484379999999996"/>
    <x v="1068"/>
    <n v="3.5709279999999999"/>
    <n v="48547200"/>
  </r>
  <r>
    <x v="2355"/>
    <n v="5.6640629999999996"/>
    <n v="5.8125"/>
    <n v="5.6484379999999996"/>
    <x v="1069"/>
    <n v="3.6521409999999999"/>
    <n v="47070400"/>
  </r>
  <r>
    <x v="2356"/>
    <n v="5.8046879999999996"/>
    <n v="5.9765629999999996"/>
    <n v="5.796875"/>
    <x v="1070"/>
    <n v="3.7653479999999999"/>
    <n v="66699200"/>
  </r>
  <r>
    <x v="2357"/>
    <n v="6"/>
    <n v="6.234375"/>
    <n v="5.984375"/>
    <x v="1071"/>
    <n v="3.8933200000000001"/>
    <n v="111982400"/>
  </r>
  <r>
    <x v="2358"/>
    <n v="6.1875"/>
    <n v="6.1953129999999996"/>
    <n v="6.03125"/>
    <x v="1072"/>
    <n v="3.7998020000000001"/>
    <n v="78227200"/>
  </r>
  <r>
    <x v="2359"/>
    <n v="6.046875"/>
    <n v="6.25"/>
    <n v="6.046875"/>
    <x v="1073"/>
    <n v="3.932696"/>
    <n v="94675200"/>
  </r>
  <r>
    <x v="2360"/>
    <n v="6.2578129999999996"/>
    <n v="6.34375"/>
    <n v="6.1328129999999996"/>
    <x v="1074"/>
    <n v="3.9425400000000002"/>
    <n v="84811200"/>
  </r>
  <r>
    <x v="2361"/>
    <n v="6.140625"/>
    <n v="6.4765629999999996"/>
    <n v="6.125"/>
    <x v="1075"/>
    <n v="4.0803589999999996"/>
    <n v="89905600"/>
  </r>
  <r>
    <x v="2362"/>
    <n v="6.734375"/>
    <n v="6.828125"/>
    <n v="6.65625"/>
    <x v="1076"/>
    <n v="4.2920030000000002"/>
    <n v="155830400"/>
  </r>
  <r>
    <x v="2363"/>
    <n v="6.6875"/>
    <n v="6.6953129999999996"/>
    <n v="6.328125"/>
    <x v="1077"/>
    <n v="4.0114479999999997"/>
    <n v="289624000"/>
  </r>
  <r>
    <x v="2364"/>
    <n v="6.0625"/>
    <n v="6.171875"/>
    <n v="5.53125"/>
    <x v="1078"/>
    <n v="3.72105"/>
    <n v="305092800"/>
  </r>
  <r>
    <x v="2365"/>
    <n v="5.953125"/>
    <n v="6.0859379999999996"/>
    <n v="5.875"/>
    <x v="1079"/>
    <n v="3.7850350000000001"/>
    <n v="177848000"/>
  </r>
  <r>
    <x v="2366"/>
    <n v="5.875"/>
    <n v="6"/>
    <n v="5.734375"/>
    <x v="1080"/>
    <n v="3.6226080000000001"/>
    <n v="169257600"/>
  </r>
  <r>
    <x v="2367"/>
    <n v="5.7890629999999996"/>
    <n v="5.859375"/>
    <n v="5.7578129999999996"/>
    <x v="1081"/>
    <n v="3.6865950000000001"/>
    <n v="94811200"/>
  </r>
  <r>
    <x v="2368"/>
    <n v="5.96875"/>
    <n v="6.1015629999999996"/>
    <n v="5.9375"/>
    <x v="1082"/>
    <n v="3.79488"/>
    <n v="109422400"/>
  </r>
  <r>
    <x v="2369"/>
    <n v="6.1015629999999996"/>
    <n v="6.1328129999999996"/>
    <n v="5.9296879999999996"/>
    <x v="1083"/>
    <n v="3.7801130000000001"/>
    <n v="77470400"/>
  </r>
  <r>
    <x v="2370"/>
    <n v="6.03125"/>
    <n v="6.1015629999999996"/>
    <n v="6.015625"/>
    <x v="1072"/>
    <n v="3.7998020000000001"/>
    <n v="52916800"/>
  </r>
  <r>
    <x v="2371"/>
    <n v="6"/>
    <n v="6"/>
    <n v="5.75"/>
    <x v="1084"/>
    <n v="3.6472199999999999"/>
    <n v="158468800"/>
  </r>
  <r>
    <x v="2372"/>
    <n v="5.8203129999999996"/>
    <n v="5.84375"/>
    <n v="5.625"/>
    <x v="1059"/>
    <n v="3.5635439999999998"/>
    <n v="101435200"/>
  </r>
  <r>
    <x v="2373"/>
    <n v="5.671875"/>
    <n v="5.6806640000000002"/>
    <n v="5.4921879999999996"/>
    <x v="1085"/>
    <n v="3.5241690000000001"/>
    <n v="166144000"/>
  </r>
  <r>
    <x v="2374"/>
    <n v="5.6875"/>
    <n v="5.7890629999999996"/>
    <n v="5.5"/>
    <x v="1086"/>
    <n v="3.50448"/>
    <n v="129804800"/>
  </r>
  <r>
    <x v="2375"/>
    <n v="5.5"/>
    <n v="5.7109379999999996"/>
    <n v="5.46875"/>
    <x v="1061"/>
    <n v="3.5881560000000001"/>
    <n v="113536000"/>
  </r>
  <r>
    <x v="2376"/>
    <n v="5.7109379999999996"/>
    <n v="5.8671879999999996"/>
    <n v="5.703125"/>
    <x v="1087"/>
    <n v="3.6964399999999999"/>
    <n v="77705600"/>
  </r>
  <r>
    <x v="2377"/>
    <n v="5.90625"/>
    <n v="5.96875"/>
    <n v="5.734375"/>
    <x v="1081"/>
    <n v="3.6865950000000001"/>
    <n v="64273600"/>
  </r>
  <r>
    <x v="2378"/>
    <n v="5.8828129999999996"/>
    <n v="5.9296879999999996"/>
    <n v="5.8359379999999996"/>
    <x v="1088"/>
    <n v="3.681673"/>
    <n v="43913600"/>
  </r>
  <r>
    <x v="2379"/>
    <n v="6.109375"/>
    <n v="6.1328129999999996"/>
    <n v="6"/>
    <x v="1072"/>
    <n v="3.7998020000000001"/>
    <n v="144384000"/>
  </r>
  <r>
    <x v="2380"/>
    <n v="6.0625"/>
    <n v="6.0703129999999996"/>
    <n v="5.8671879999999996"/>
    <x v="1089"/>
    <n v="3.706283"/>
    <n v="71883200"/>
  </r>
  <r>
    <x v="2381"/>
    <n v="5.921875"/>
    <n v="6.0390629999999996"/>
    <n v="5.7578129999999996"/>
    <x v="1072"/>
    <n v="3.7998020000000001"/>
    <n v="97195200"/>
  </r>
  <r>
    <x v="2382"/>
    <n v="6.0546879999999996"/>
    <n v="6.203125"/>
    <n v="5.984375"/>
    <x v="1090"/>
    <n v="3.888398"/>
    <n v="88872000"/>
  </r>
  <r>
    <x v="2383"/>
    <n v="6.203125"/>
    <n v="6.2109379999999996"/>
    <n v="6.0546879999999996"/>
    <x v="1091"/>
    <n v="3.8736320000000002"/>
    <n v="63267200"/>
  </r>
  <r>
    <x v="2384"/>
    <n v="6.1484379999999996"/>
    <n v="6.1796879999999996"/>
    <n v="6.0703129999999996"/>
    <x v="1090"/>
    <n v="3.888398"/>
    <n v="38118400"/>
  </r>
  <r>
    <x v="2385"/>
    <n v="6.1796879999999996"/>
    <n v="6.296875"/>
    <n v="6.1650390000000002"/>
    <x v="1092"/>
    <n v="3.9031660000000001"/>
    <n v="74564800"/>
  </r>
  <r>
    <x v="2386"/>
    <n v="6.2304690000000003"/>
    <n v="6.234375"/>
    <n v="6.0625"/>
    <x v="1093"/>
    <n v="3.8244120000000001"/>
    <n v="77502400"/>
  </r>
  <r>
    <x v="2387"/>
    <n v="6.09375"/>
    <n v="6.140625"/>
    <n v="5.8984379999999996"/>
    <x v="1078"/>
    <n v="3.72105"/>
    <n v="110491200"/>
  </r>
  <r>
    <x v="2388"/>
    <n v="5.9453129999999996"/>
    <n v="6.2109379999999996"/>
    <n v="5.8984379999999996"/>
    <x v="1094"/>
    <n v="3.9105470000000002"/>
    <n v="94320000"/>
  </r>
  <r>
    <x v="2389"/>
    <n v="6.25"/>
    <n v="6.28125"/>
    <n v="6.09375"/>
    <x v="1095"/>
    <n v="3.853942"/>
    <n v="111188800"/>
  </r>
  <r>
    <x v="2390"/>
    <n v="6.1328129999999996"/>
    <n v="6.1328129999999996"/>
    <n v="5.96875"/>
    <x v="1079"/>
    <n v="3.7850350000000001"/>
    <n v="95275200"/>
  </r>
  <r>
    <x v="2391"/>
    <n v="6.0234379999999996"/>
    <n v="6.046875"/>
    <n v="5.8984379999999996"/>
    <x v="1096"/>
    <n v="3.7161279999999999"/>
    <n v="73489600"/>
  </r>
  <r>
    <x v="2392"/>
    <n v="5.8984379999999996"/>
    <n v="5.8984379999999996"/>
    <n v="5.6171879999999996"/>
    <x v="1097"/>
    <n v="3.5463179999999999"/>
    <n v="112622400"/>
  </r>
  <r>
    <x v="2393"/>
    <n v="5.6328129999999996"/>
    <n v="5.7421879999999996"/>
    <n v="5.4375"/>
    <x v="1060"/>
    <n v="3.6176870000000001"/>
    <n v="163929600"/>
  </r>
  <r>
    <x v="2394"/>
    <n v="5.8046879999999996"/>
    <n v="5.859375"/>
    <n v="5.71875"/>
    <x v="1098"/>
    <n v="3.6718299999999999"/>
    <n v="79499200"/>
  </r>
  <r>
    <x v="2395"/>
    <n v="5.8359379999999996"/>
    <n v="5.875"/>
    <n v="5.71875"/>
    <x v="1099"/>
    <n v="3.6422979999999998"/>
    <n v="38764800"/>
  </r>
  <r>
    <x v="2396"/>
    <n v="5.734375"/>
    <n v="5.75"/>
    <n v="5.5859379999999996"/>
    <x v="1062"/>
    <n v="3.5340129999999998"/>
    <n v="80262400"/>
  </r>
  <r>
    <x v="2397"/>
    <n v="5.6796879999999996"/>
    <n v="5.9453129999999996"/>
    <n v="5.640625"/>
    <x v="1100"/>
    <n v="3.7407379999999999"/>
    <n v="92052800"/>
  </r>
  <r>
    <x v="2398"/>
    <n v="5.953125"/>
    <n v="6.03125"/>
    <n v="5.8125"/>
    <x v="1088"/>
    <n v="3.681673"/>
    <n v="100265600"/>
  </r>
  <r>
    <x v="2399"/>
    <n v="5.890625"/>
    <n v="6.0390629999999996"/>
    <n v="5.828125"/>
    <x v="1101"/>
    <n v="3.7259720000000001"/>
    <n v="93932800"/>
  </r>
  <r>
    <x v="2400"/>
    <n v="5.859375"/>
    <n v="5.9765629999999996"/>
    <n v="5.828125"/>
    <x v="1102"/>
    <n v="3.7604250000000001"/>
    <n v="64417600"/>
  </r>
  <r>
    <x v="2401"/>
    <n v="5.9609379999999996"/>
    <n v="6.1171879999999996"/>
    <n v="5.9375"/>
    <x v="1103"/>
    <n v="3.8441010000000002"/>
    <n v="77408000"/>
  </r>
  <r>
    <x v="2402"/>
    <n v="6.109375"/>
    <n v="6.109375"/>
    <n v="5.9765629999999996"/>
    <x v="1104"/>
    <n v="3.7899560000000001"/>
    <n v="71155200"/>
  </r>
  <r>
    <x v="2403"/>
    <n v="6.0078129999999996"/>
    <n v="6.0625"/>
    <n v="5.9453129999999996"/>
    <x v="1079"/>
    <n v="3.7850350000000001"/>
    <n v="61208000"/>
  </r>
  <r>
    <x v="2404"/>
    <n v="6.0078129999999996"/>
    <n v="6.03125"/>
    <n v="5.921875"/>
    <x v="1105"/>
    <n v="3.7358150000000001"/>
    <n v="54230400"/>
  </r>
  <r>
    <x v="2405"/>
    <n v="5.921875"/>
    <n v="5.9609379999999996"/>
    <n v="5.78125"/>
    <x v="1106"/>
    <n v="3.6792129999999998"/>
    <n v="88316800"/>
  </r>
  <r>
    <x v="2406"/>
    <n v="5.828125"/>
    <n v="5.8359379999999996"/>
    <n v="5.6796879999999996"/>
    <x v="1080"/>
    <n v="3.6226080000000001"/>
    <n v="76827200"/>
  </r>
  <r>
    <x v="2407"/>
    <n v="5.75"/>
    <n v="5.90625"/>
    <n v="5.71875"/>
    <x v="1107"/>
    <n v="3.6742900000000001"/>
    <n v="58011200"/>
  </r>
  <r>
    <x v="2408"/>
    <n v="5.84375"/>
    <n v="5.9140629999999996"/>
    <n v="5.7890629999999996"/>
    <x v="1108"/>
    <n v="3.6669070000000001"/>
    <n v="44652800"/>
  </r>
  <r>
    <x v="2409"/>
    <n v="5.703125"/>
    <n v="5.8164059999999997"/>
    <n v="5.65625"/>
    <x v="1109"/>
    <n v="3.5684680000000002"/>
    <n v="83836800"/>
  </r>
  <r>
    <x v="2410"/>
    <n v="5.6171879999999996"/>
    <n v="5.671875"/>
    <n v="5.5625"/>
    <x v="1062"/>
    <n v="3.5340129999999998"/>
    <n v="99899200"/>
  </r>
  <r>
    <x v="2411"/>
    <n v="5.65625"/>
    <n v="5.6640629999999996"/>
    <n v="5.53125"/>
    <x v="1110"/>
    <n v="3.5530849999999998"/>
    <n v="57878400"/>
  </r>
  <r>
    <x v="2412"/>
    <n v="5.6484379999999996"/>
    <n v="5.7421879999999996"/>
    <n v="5.5078129999999996"/>
    <x v="1111"/>
    <n v="3.4749469999999998"/>
    <n v="76548800"/>
  </r>
  <r>
    <x v="2413"/>
    <n v="5.5"/>
    <n v="5.546875"/>
    <n v="5.2109379999999996"/>
    <x v="1112"/>
    <n v="3.4897140000000002"/>
    <n v="140756800"/>
  </r>
  <r>
    <x v="2414"/>
    <n v="5.5625"/>
    <n v="5.71875"/>
    <n v="5.5546879999999996"/>
    <x v="1113"/>
    <n v="3.6029209999999998"/>
    <n v="105510400"/>
  </r>
  <r>
    <x v="2415"/>
    <n v="5.7265629999999996"/>
    <n v="5.796875"/>
    <n v="5.6289059999999997"/>
    <x v="1059"/>
    <n v="3.5635439999999998"/>
    <n v="95158400"/>
  </r>
  <r>
    <x v="2416"/>
    <n v="5.65625"/>
    <n v="5.6796879999999996"/>
    <n v="5.5078129999999996"/>
    <x v="1111"/>
    <n v="3.4749469999999998"/>
    <n v="67731200"/>
  </r>
  <r>
    <x v="2417"/>
    <n v="5.5078129999999996"/>
    <n v="5.578125"/>
    <n v="5.453125"/>
    <x v="1114"/>
    <n v="3.4995579999999999"/>
    <n v="80736000"/>
  </r>
  <r>
    <x v="2418"/>
    <n v="5.5078129999999996"/>
    <n v="5.5078129999999996"/>
    <n v="5.34375"/>
    <x v="1115"/>
    <n v="3.3912740000000001"/>
    <n v="73473600"/>
  </r>
  <r>
    <x v="2419"/>
    <n v="5.375"/>
    <n v="5.46875"/>
    <n v="5.3125"/>
    <x v="1045"/>
    <n v="3.4454159999999998"/>
    <n v="101289600"/>
  </r>
  <r>
    <x v="2420"/>
    <n v="5.46875"/>
    <n v="5.5625"/>
    <n v="5.34375"/>
    <x v="1116"/>
    <n v="3.3814289999999998"/>
    <n v="76616000"/>
  </r>
  <r>
    <x v="2421"/>
    <n v="5.3046879999999996"/>
    <n v="5.359375"/>
    <n v="5.171875"/>
    <x v="1050"/>
    <n v="3.2731460000000001"/>
    <n v="108614400"/>
  </r>
  <r>
    <x v="2422"/>
    <n v="5.078125"/>
    <n v="5.2578129999999996"/>
    <n v="5.0234379999999996"/>
    <x v="1053"/>
    <n v="3.297755"/>
    <n v="157644800"/>
  </r>
  <r>
    <x v="2423"/>
    <n v="5.3671879999999996"/>
    <n v="5.4609379999999996"/>
    <n v="5.3125"/>
    <x v="1117"/>
    <n v="3.410962"/>
    <n v="107009600"/>
  </r>
  <r>
    <x v="2424"/>
    <n v="5.4375"/>
    <n v="5.5078129999999996"/>
    <n v="5.4140629999999996"/>
    <x v="1118"/>
    <n v="3.4503360000000001"/>
    <n v="78700800"/>
  </r>
  <r>
    <x v="2425"/>
    <n v="5.53125"/>
    <n v="5.546875"/>
    <n v="5.375"/>
    <x v="1119"/>
    <n v="3.3961960000000002"/>
    <n v="68644800"/>
  </r>
  <r>
    <x v="2426"/>
    <n v="5.359375"/>
    <n v="5.4609379999999996"/>
    <n v="5.34375"/>
    <x v="1120"/>
    <n v="3.415883"/>
    <n v="61067200"/>
  </r>
  <r>
    <x v="2427"/>
    <n v="5.453125"/>
    <n v="5.71875"/>
    <n v="5.421875"/>
    <x v="1061"/>
    <n v="3.5881560000000001"/>
    <n v="123140800"/>
  </r>
  <r>
    <x v="2428"/>
    <n v="6.140625"/>
    <n v="6.1640629999999996"/>
    <n v="5.9296879999999996"/>
    <x v="1070"/>
    <n v="3.7653479999999999"/>
    <n v="294329600"/>
  </r>
  <r>
    <x v="2429"/>
    <n v="5.953125"/>
    <n v="6.0625"/>
    <n v="5.921875"/>
    <x v="1121"/>
    <n v="3.8096450000000002"/>
    <n v="95840000"/>
  </r>
  <r>
    <x v="2430"/>
    <n v="6.03125"/>
    <n v="6.0546879999999996"/>
    <n v="5.9296879999999996"/>
    <x v="1102"/>
    <n v="3.7604250000000001"/>
    <n v="79984000"/>
  </r>
  <r>
    <x v="2431"/>
    <n v="5.9375"/>
    <n v="6.0703129999999996"/>
    <n v="5.90625"/>
    <x v="1082"/>
    <n v="3.79488"/>
    <n v="93473600"/>
  </r>
  <r>
    <x v="2432"/>
    <n v="6.0234379999999996"/>
    <n v="6.1328129999999996"/>
    <n v="6.0234379999999996"/>
    <x v="1122"/>
    <n v="3.839178"/>
    <n v="68681600"/>
  </r>
  <r>
    <x v="2433"/>
    <n v="6.1015629999999996"/>
    <n v="6.109375"/>
    <n v="5.9921879999999996"/>
    <x v="1123"/>
    <n v="3.7751939999999999"/>
    <n v="60211200"/>
  </r>
  <r>
    <x v="2434"/>
    <n v="5.984375"/>
    <n v="6.1328129999999996"/>
    <n v="5.9609379999999996"/>
    <x v="1124"/>
    <n v="3.858867"/>
    <n v="82841600"/>
  </r>
  <r>
    <x v="2435"/>
    <n v="6.09375"/>
    <n v="6.2587890000000002"/>
    <n v="6.0859379999999996"/>
    <x v="1125"/>
    <n v="3.9376180000000001"/>
    <n v="130683200"/>
  </r>
  <r>
    <x v="2436"/>
    <n v="6.203125"/>
    <n v="6.4609379999999996"/>
    <n v="6.15625"/>
    <x v="1126"/>
    <n v="4.045903"/>
    <n v="125464000"/>
  </r>
  <r>
    <x v="2437"/>
    <n v="6.4375"/>
    <n v="6.4609379999999996"/>
    <n v="6.234375"/>
    <x v="1125"/>
    <n v="3.9376180000000001"/>
    <n v="91958400"/>
  </r>
  <r>
    <x v="2438"/>
    <n v="6.2578129999999996"/>
    <n v="6.3125"/>
    <n v="6.140625"/>
    <x v="1091"/>
    <n v="3.8736320000000002"/>
    <n v="72819200"/>
  </r>
  <r>
    <x v="2439"/>
    <n v="6.1640629999999996"/>
    <n v="6.2734379999999996"/>
    <n v="6.140625"/>
    <x v="1125"/>
    <n v="3.9376180000000001"/>
    <n v="63504000"/>
  </r>
  <r>
    <x v="2440"/>
    <n v="6.25"/>
    <n v="6.2578129999999996"/>
    <n v="6.171875"/>
    <x v="1127"/>
    <n v="3.9179300000000001"/>
    <n v="40635200"/>
  </r>
  <r>
    <x v="2441"/>
    <n v="6.0625"/>
    <n v="6.1796879999999996"/>
    <n v="6.0546879999999996"/>
    <x v="1128"/>
    <n v="3.834257"/>
    <n v="87729600"/>
  </r>
  <r>
    <x v="2442"/>
    <n v="6.03125"/>
    <n v="6.0859379999999996"/>
    <n v="5.8046879999999996"/>
    <x v="1129"/>
    <n v="3.6619869999999999"/>
    <n v="115921600"/>
  </r>
  <r>
    <x v="2443"/>
    <n v="5.8671879999999996"/>
    <n v="5.96875"/>
    <n v="5.8359379999999996"/>
    <x v="1130"/>
    <n v="3.7505829999999998"/>
    <n v="71280000"/>
  </r>
  <r>
    <x v="2444"/>
    <n v="6.03125"/>
    <n v="6.1884769999999998"/>
    <n v="6"/>
    <x v="1131"/>
    <n v="3.8982420000000002"/>
    <n v="99814400"/>
  </r>
  <r>
    <x v="2445"/>
    <n v="6.15625"/>
    <n v="6.1875"/>
    <n v="6.0380859999999998"/>
    <x v="1132"/>
    <n v="3.8145669999999998"/>
    <n v="60819200"/>
  </r>
  <r>
    <x v="2446"/>
    <n v="6.0390629999999996"/>
    <n v="6.078125"/>
    <n v="6.0039059999999997"/>
    <x v="1133"/>
    <n v="3.7924180000000001"/>
    <n v="59003200"/>
  </r>
  <r>
    <x v="2447"/>
    <n v="5.9921879999999996"/>
    <n v="6"/>
    <n v="5.8671879999999996"/>
    <x v="1134"/>
    <n v="3.7013630000000002"/>
    <n v="75657600"/>
  </r>
  <r>
    <x v="2448"/>
    <n v="5.8984379999999996"/>
    <n v="5.9140629999999996"/>
    <n v="5.7421879999999996"/>
    <x v="1134"/>
    <n v="3.7013630000000002"/>
    <n v="108686400"/>
  </r>
  <r>
    <x v="2449"/>
    <n v="5.65625"/>
    <n v="5.7402340000000001"/>
    <n v="5.6015629999999996"/>
    <x v="1135"/>
    <n v="3.5389349999999999"/>
    <n v="195126400"/>
  </r>
  <r>
    <x v="2450"/>
    <n v="5.625"/>
    <n v="5.6640629999999996"/>
    <n v="5.4609379999999996"/>
    <x v="1136"/>
    <n v="3.4404940000000002"/>
    <n v="143803200"/>
  </r>
  <r>
    <x v="2451"/>
    <n v="5.5234379999999996"/>
    <n v="5.5859379999999996"/>
    <n v="5.359375"/>
    <x v="1040"/>
    <n v="3.3863500000000002"/>
    <n v="115296000"/>
  </r>
  <r>
    <x v="2452"/>
    <n v="5.3671879999999996"/>
    <n v="5.546875"/>
    <n v="5.265625"/>
    <x v="1137"/>
    <n v="3.4651040000000002"/>
    <n v="130163200"/>
  </r>
  <r>
    <x v="2453"/>
    <n v="5.5234379999999996"/>
    <n v="5.59375"/>
    <n v="5.453125"/>
    <x v="1136"/>
    <n v="3.4404940000000002"/>
    <n v="65428800"/>
  </r>
  <r>
    <x v="2454"/>
    <n v="5.4765629999999996"/>
    <n v="5.515625"/>
    <n v="5.4609379999999996"/>
    <x v="1137"/>
    <n v="3.4651040000000002"/>
    <n v="15014400"/>
  </r>
  <r>
    <x v="2455"/>
    <n v="5.5390629999999996"/>
    <n v="5.59375"/>
    <n v="5.4462890000000002"/>
    <x v="1043"/>
    <n v="3.4355720000000001"/>
    <n v="79100800"/>
  </r>
  <r>
    <x v="2456"/>
    <n v="5.4375"/>
    <n v="5.71875"/>
    <n v="5.40625"/>
    <x v="1113"/>
    <n v="3.6029209999999998"/>
    <n v="86537600"/>
  </r>
  <r>
    <x v="2457"/>
    <n v="5.7421879999999996"/>
    <n v="5.78125"/>
    <n v="5.578125"/>
    <x v="1062"/>
    <n v="3.5340129999999998"/>
    <n v="91067200"/>
  </r>
  <r>
    <x v="2458"/>
    <n v="5.59375"/>
    <n v="5.609375"/>
    <n v="5.4296879999999996"/>
    <x v="1138"/>
    <n v="3.4306510000000001"/>
    <n v="93512000"/>
  </r>
  <r>
    <x v="2459"/>
    <n v="5.4453129999999996"/>
    <n v="5.4921879999999996"/>
    <n v="5.3671879999999996"/>
    <x v="1119"/>
    <n v="3.3961960000000002"/>
    <n v="96124800"/>
  </r>
  <r>
    <x v="2460"/>
    <n v="5.3828129999999996"/>
    <n v="5.6015629999999996"/>
    <n v="5.328125"/>
    <x v="1064"/>
    <n v="3.4601820000000001"/>
    <n v="130436800"/>
  </r>
  <r>
    <x v="2461"/>
    <n v="5.4921879999999996"/>
    <n v="5.5078129999999996"/>
    <n v="5.3203129999999996"/>
    <x v="1040"/>
    <n v="3.3863500000000002"/>
    <n v="104528000"/>
  </r>
  <r>
    <x v="2462"/>
    <n v="5.3828129999999996"/>
    <n v="5.6875"/>
    <n v="5.375"/>
    <x v="1109"/>
    <n v="3.5684680000000002"/>
    <n v="145272000"/>
  </r>
  <r>
    <x v="2463"/>
    <n v="5.6953129999999996"/>
    <n v="5.75"/>
    <n v="5.5537109999999998"/>
    <x v="1059"/>
    <n v="3.5635439999999998"/>
    <n v="132876800"/>
  </r>
  <r>
    <x v="2464"/>
    <n v="5.7890629999999996"/>
    <n v="5.9140629999999996"/>
    <n v="5.7646480000000002"/>
    <x v="1078"/>
    <n v="3.72105"/>
    <n v="147041600"/>
  </r>
  <r>
    <x v="2465"/>
    <n v="5.90625"/>
    <n v="5.921875"/>
    <n v="5.8125"/>
    <x v="1108"/>
    <n v="3.6669070000000001"/>
    <n v="61924800"/>
  </r>
  <r>
    <x v="2466"/>
    <n v="5.8125"/>
    <n v="5.8203129999999996"/>
    <n v="5.6953129999999996"/>
    <x v="1058"/>
    <n v="3.598001"/>
    <n v="44739200"/>
  </r>
  <r>
    <x v="2467"/>
    <n v="5.6953129999999996"/>
    <n v="5.7578129999999996"/>
    <n v="5.65625"/>
    <x v="1139"/>
    <n v="3.6127639999999999"/>
    <n v="39577600"/>
  </r>
  <r>
    <x v="2468"/>
    <n v="5.765625"/>
    <n v="5.84375"/>
    <n v="5.5390629999999996"/>
    <x v="1140"/>
    <n v="3.4946350000000002"/>
    <n v="92822400"/>
  </r>
  <r>
    <x v="2469"/>
    <n v="5.5703129999999996"/>
    <n v="5.609375"/>
    <n v="5.453125"/>
    <x v="1141"/>
    <n v="3.47987"/>
    <n v="115470400"/>
  </r>
  <r>
    <x v="2470"/>
    <n v="5.5234379999999996"/>
    <n v="5.5625"/>
    <n v="5.3359379999999996"/>
    <x v="1056"/>
    <n v="3.4257279999999999"/>
    <n v="99460800"/>
  </r>
  <r>
    <x v="2471"/>
    <n v="5.4609379999999996"/>
    <n v="5.6884769999999998"/>
    <n v="5.4609379999999996"/>
    <x v="1142"/>
    <n v="3.5783119999999999"/>
    <n v="84340800"/>
  </r>
  <r>
    <x v="2472"/>
    <n v="5.6953129999999996"/>
    <n v="5.7109379999999996"/>
    <n v="5.4375"/>
    <x v="1138"/>
    <n v="3.4306510000000001"/>
    <n v="84980800"/>
  </r>
  <r>
    <x v="2473"/>
    <n v="5.484375"/>
    <n v="5.625"/>
    <n v="5.4609379999999996"/>
    <x v="1143"/>
    <n v="3.5438559999999999"/>
    <n v="60593600"/>
  </r>
  <r>
    <x v="2474"/>
    <n v="5.6328129999999996"/>
    <n v="5.6796879999999996"/>
    <n v="5.5703129999999996"/>
    <x v="1059"/>
    <n v="3.5635439999999998"/>
    <n v="36057600"/>
  </r>
  <r>
    <x v="2475"/>
    <n v="5.640625"/>
    <n v="5.703125"/>
    <n v="5.6171879999999996"/>
    <x v="1144"/>
    <n v="3.5537000000000001"/>
    <n v="34707200"/>
  </r>
  <r>
    <x v="2476"/>
    <n v="5.6484379999999996"/>
    <n v="5.6640629999999996"/>
    <n v="5.5234379999999996"/>
    <x v="1114"/>
    <n v="3.4995579999999999"/>
    <n v="40539200"/>
  </r>
  <r>
    <x v="2477"/>
    <n v="5.515625"/>
    <n v="5.53125"/>
    <n v="5.453125"/>
    <x v="1136"/>
    <n v="3.4404940000000002"/>
    <n v="49777600"/>
  </r>
  <r>
    <x v="2478"/>
    <n v="5.453125"/>
    <n v="5.546875"/>
    <n v="5.390625"/>
    <x v="1145"/>
    <n v="3.45526"/>
    <n v="52342400"/>
  </r>
  <r>
    <x v="2479"/>
    <n v="5.4921879999999996"/>
    <n v="5.609375"/>
    <n v="5.4609379999999996"/>
    <x v="1062"/>
    <n v="3.5340129999999998"/>
    <n v="57779200"/>
  </r>
  <r>
    <x v="2480"/>
    <n v="5.5703129999999996"/>
    <n v="5.6328129999999996"/>
    <n v="5.421875"/>
    <x v="1063"/>
    <n v="3.4208050000000001"/>
    <n v="62857600"/>
  </r>
  <r>
    <x v="2481"/>
    <n v="5.453125"/>
    <n v="5.46875"/>
    <n v="5.3046879999999996"/>
    <x v="1136"/>
    <n v="3.4404940000000002"/>
    <n v="102353600"/>
  </r>
  <r>
    <x v="2482"/>
    <n v="5.390625"/>
    <n v="5.4765629999999996"/>
    <n v="5.3828129999999996"/>
    <x v="1146"/>
    <n v="3.4011170000000002"/>
    <n v="62083200"/>
  </r>
  <r>
    <x v="2483"/>
    <n v="5.40625"/>
    <n v="5.4765629999999996"/>
    <n v="5.3828129999999996"/>
    <x v="1119"/>
    <n v="3.3961960000000002"/>
    <n v="11377600"/>
  </r>
  <r>
    <x v="2484"/>
    <n v="5.375"/>
    <n v="5.375"/>
    <n v="4.9921879999999996"/>
    <x v="1147"/>
    <n v="3.1574789999999999"/>
    <n v="177424000"/>
  </r>
  <r>
    <x v="2485"/>
    <n v="5.03125"/>
    <n v="5.203125"/>
    <n v="5.0302730000000002"/>
    <x v="1148"/>
    <n v="3.2436129999999999"/>
    <n v="181571200"/>
  </r>
  <r>
    <x v="2486"/>
    <n v="5.21875"/>
    <n v="5.4296879999999996"/>
    <n v="5.1953129999999996"/>
    <x v="1117"/>
    <n v="3.410962"/>
    <n v="116617600"/>
  </r>
  <r>
    <x v="2487"/>
    <n v="5.40625"/>
    <n v="5.4296879999999996"/>
    <n v="5.2421879999999996"/>
    <x v="1149"/>
    <n v="3.3765079999999998"/>
    <n v="80544000"/>
  </r>
  <r>
    <x v="2488"/>
    <n v="5.3671879999999996"/>
    <n v="5.3671879999999996"/>
    <n v="5.1171879999999996"/>
    <x v="1150"/>
    <n v="3.248535"/>
    <n v="84572800"/>
  </r>
  <r>
    <x v="2489"/>
    <n v="5.2265629999999996"/>
    <n v="5.4052730000000002"/>
    <n v="5.203125"/>
    <x v="1146"/>
    <n v="3.4011170000000002"/>
    <n v="122006400"/>
  </r>
  <r>
    <x v="2490"/>
    <n v="5.296875"/>
    <n v="5.46875"/>
    <n v="5.2890629999999996"/>
    <x v="1039"/>
    <n v="3.3420550000000002"/>
    <n v="143078400"/>
  </r>
  <r>
    <x v="2491"/>
    <n v="5.34375"/>
    <n v="5.5546879999999996"/>
    <n v="5.3125"/>
    <x v="1118"/>
    <n v="3.4503360000000001"/>
    <n v="121331200"/>
  </r>
  <r>
    <x v="2492"/>
    <n v="5.640625"/>
    <n v="5.828125"/>
    <n v="5.6015629999999996"/>
    <x v="1060"/>
    <n v="3.6176870000000001"/>
    <n v="227440000"/>
  </r>
  <r>
    <x v="2493"/>
    <n v="5.7265629999999996"/>
    <n v="5.796875"/>
    <n v="5.6796879999999996"/>
    <x v="1080"/>
    <n v="3.6226080000000001"/>
    <n v="82643200"/>
  </r>
  <r>
    <x v="2494"/>
    <n v="5.7109379999999996"/>
    <n v="5.734375"/>
    <n v="5.578125"/>
    <x v="1085"/>
    <n v="3.5241690000000001"/>
    <n v="66473600"/>
  </r>
  <r>
    <x v="2495"/>
    <n v="5.6171879999999996"/>
    <n v="5.78125"/>
    <n v="5.59375"/>
    <x v="1151"/>
    <n v="3.5930759999999999"/>
    <n v="92217600"/>
  </r>
  <r>
    <x v="2496"/>
    <n v="5.7109379999999996"/>
    <n v="5.7265629999999996"/>
    <n v="5.5625"/>
    <x v="1065"/>
    <n v="3.519247"/>
    <n v="59881600"/>
  </r>
  <r>
    <x v="2497"/>
    <n v="5.5703129999999996"/>
    <n v="5.6796879999999996"/>
    <n v="5.5625"/>
    <x v="1059"/>
    <n v="3.5635439999999998"/>
    <n v="50881600"/>
  </r>
  <r>
    <x v="2498"/>
    <n v="5.671875"/>
    <n v="5.703125"/>
    <n v="5.5849609999999998"/>
    <x v="1066"/>
    <n v="3.5586229999999999"/>
    <n v="39587200"/>
  </r>
  <r>
    <x v="2499"/>
    <n v="5.6796879999999996"/>
    <n v="5.7109379999999996"/>
    <n v="5.6640629999999996"/>
    <x v="1152"/>
    <n v="3.5758489999999998"/>
    <n v="45120000"/>
  </r>
  <r>
    <x v="2500"/>
    <n v="5.671875"/>
    <n v="5.7890629999999996"/>
    <n v="5.6328129999999996"/>
    <x v="1099"/>
    <n v="3.6422979999999998"/>
    <n v="68774400"/>
  </r>
  <r>
    <x v="2501"/>
    <n v="5.765625"/>
    <n v="5.890625"/>
    <n v="5.75"/>
    <x v="1089"/>
    <n v="3.706283"/>
    <n v="78587200"/>
  </r>
  <r>
    <x v="2502"/>
    <n v="5.875"/>
    <n v="5.8828129999999996"/>
    <n v="5.7578129999999996"/>
    <x v="1129"/>
    <n v="3.6619869999999999"/>
    <n v="44686400"/>
  </r>
  <r>
    <x v="2503"/>
    <n v="5.796875"/>
    <n v="6.078125"/>
    <n v="5.796875"/>
    <x v="1093"/>
    <n v="3.8244120000000001"/>
    <n v="126480000"/>
  </r>
  <r>
    <x v="2504"/>
    <n v="6.03125"/>
    <n v="6.09375"/>
    <n v="5.9765629999999996"/>
    <x v="1072"/>
    <n v="3.7998020000000001"/>
    <n v="98158400"/>
  </r>
  <r>
    <x v="2505"/>
    <n v="6"/>
    <n v="6.0703129999999996"/>
    <n v="5.9677730000000002"/>
    <x v="1132"/>
    <n v="3.8145669999999998"/>
    <n v="65555200"/>
  </r>
  <r>
    <x v="2506"/>
    <n v="6.0390629999999996"/>
    <n v="6.21875"/>
    <n v="5.96875"/>
    <x v="1071"/>
    <n v="3.8933200000000001"/>
    <n v="103924800"/>
  </r>
  <r>
    <x v="2507"/>
    <n v="6.171875"/>
    <n v="6.265625"/>
    <n v="6.15625"/>
    <x v="1074"/>
    <n v="3.9425400000000002"/>
    <n v="122832000"/>
  </r>
  <r>
    <x v="2508"/>
    <n v="6.234375"/>
    <n v="6.3203129999999996"/>
    <n v="6.1953129999999996"/>
    <x v="1127"/>
    <n v="3.9179300000000001"/>
    <n v="87779200"/>
  </r>
  <r>
    <x v="2509"/>
    <n v="6.109375"/>
    <n v="6.265625"/>
    <n v="6.09375"/>
    <x v="1153"/>
    <n v="3.9228529999999999"/>
    <n v="114513600"/>
  </r>
  <r>
    <x v="2510"/>
    <n v="6.2578129999999996"/>
    <n v="6.2578129999999996"/>
    <n v="6.1484379999999996"/>
    <x v="1090"/>
    <n v="3.888398"/>
    <n v="80212800"/>
  </r>
  <r>
    <x v="2511"/>
    <n v="6.15625"/>
    <n v="6.1953129999999996"/>
    <n v="6.109375"/>
    <x v="1154"/>
    <n v="3.8785539999999998"/>
    <n v="52195200"/>
  </r>
  <r>
    <x v="2512"/>
    <n v="6.171875"/>
    <n v="6.203125"/>
    <n v="6.1171879999999996"/>
    <x v="1095"/>
    <n v="3.853942"/>
    <n v="62206400"/>
  </r>
  <r>
    <x v="2513"/>
    <n v="6.078125"/>
    <n v="6.15625"/>
    <n v="6.0546879999999996"/>
    <x v="1155"/>
    <n v="3.8490229999999999"/>
    <n v="64182400"/>
  </r>
  <r>
    <x v="2514"/>
    <n v="6.109375"/>
    <n v="6.2578129999999996"/>
    <n v="6.09375"/>
    <x v="1073"/>
    <n v="3.932696"/>
    <n v="80046400"/>
  </r>
  <r>
    <x v="2515"/>
    <n v="6.25"/>
    <n v="6.4140629999999996"/>
    <n v="6.25"/>
    <x v="1156"/>
    <n v="4.0360589999999998"/>
    <n v="106500800"/>
  </r>
  <r>
    <x v="2516"/>
    <n v="6.4140629999999996"/>
    <n v="6.4765629999999996"/>
    <n v="6.3671879999999996"/>
    <x v="1157"/>
    <n v="4.0754359999999998"/>
    <n v="102640000"/>
  </r>
  <r>
    <x v="2517"/>
    <n v="6.4375"/>
    <n v="6.453125"/>
    <n v="6.28125"/>
    <x v="1158"/>
    <n v="3.9622310000000001"/>
    <n v="63696000"/>
  </r>
  <r>
    <x v="2518"/>
    <n v="6.296875"/>
    <n v="6.3007809999999997"/>
    <n v="6.2333980000000002"/>
    <x v="1074"/>
    <n v="3.9425400000000002"/>
    <n v="60958400"/>
  </r>
  <r>
    <x v="2519"/>
    <n v="6.296875"/>
    <n v="6.375"/>
    <n v="6.2421879999999996"/>
    <x v="1074"/>
    <n v="3.9425400000000002"/>
    <n v="60051200"/>
  </r>
  <r>
    <x v="2520"/>
    <n v="6.1875"/>
    <n v="6.2578129999999996"/>
    <n v="6.1601559999999997"/>
    <x v="1159"/>
    <n v="3.8859360000000001"/>
    <n v="61723200"/>
  </r>
  <r>
    <x v="2521"/>
    <n v="6.1484379999999996"/>
    <n v="6.1640629999999996"/>
    <n v="5.9140629999999996"/>
    <x v="1102"/>
    <n v="3.7604250000000001"/>
    <n v="157652800"/>
  </r>
  <r>
    <x v="2522"/>
    <n v="6"/>
    <n v="6.0859379999999996"/>
    <n v="5.96875"/>
    <x v="1104"/>
    <n v="3.7899560000000001"/>
    <n v="72564800"/>
  </r>
  <r>
    <x v="2523"/>
    <n v="6"/>
    <n v="6.1416019999999998"/>
    <n v="5.984375"/>
    <x v="1160"/>
    <n v="3.863788"/>
    <n v="57369600"/>
  </r>
  <r>
    <x v="2524"/>
    <n v="6.140625"/>
    <n v="6.1796879999999996"/>
    <n v="6.0625"/>
    <x v="1161"/>
    <n v="3.8194880000000002"/>
    <n v="44256000"/>
  </r>
  <r>
    <x v="2525"/>
    <n v="6.0703129999999996"/>
    <n v="6.1015629999999996"/>
    <n v="6.0390629999999996"/>
    <x v="1162"/>
    <n v="3.8317939999999999"/>
    <n v="44291200"/>
  </r>
  <r>
    <x v="2526"/>
    <n v="5.96875"/>
    <n v="6.09375"/>
    <n v="5.921875"/>
    <x v="1163"/>
    <n v="3.74566"/>
    <n v="108524800"/>
  </r>
  <r>
    <x v="2527"/>
    <n v="5.9453129999999996"/>
    <n v="6.0390629999999996"/>
    <n v="5.9453129999999996"/>
    <x v="1072"/>
    <n v="3.7998020000000001"/>
    <n v="74592000"/>
  </r>
  <r>
    <x v="2528"/>
    <n v="6.015625"/>
    <n v="6.0390629999999996"/>
    <n v="5.921875"/>
    <x v="1164"/>
    <n v="3.77027"/>
    <n v="76888000"/>
  </r>
  <r>
    <x v="2529"/>
    <n v="6.1396480000000002"/>
    <n v="6.3125"/>
    <n v="6.109375"/>
    <x v="1165"/>
    <n v="3.9720719999999998"/>
    <n v="156710400"/>
  </r>
  <r>
    <x v="2530"/>
    <n v="6.3203129999999996"/>
    <n v="6.3671879999999996"/>
    <n v="6.2265629999999996"/>
    <x v="1153"/>
    <n v="3.9228529999999999"/>
    <n v="60640000"/>
  </r>
  <r>
    <x v="2531"/>
    <n v="6.25"/>
    <n v="6.4453129999999996"/>
    <n v="6.2265629999999996"/>
    <x v="1166"/>
    <n v="4.0311370000000002"/>
    <n v="121721600"/>
  </r>
  <r>
    <x v="2532"/>
    <n v="6.3984379999999996"/>
    <n v="6.6171879999999996"/>
    <n v="6.3984379999999996"/>
    <x v="1167"/>
    <n v="4.1443430000000001"/>
    <n v="119472000"/>
  </r>
  <r>
    <x v="2533"/>
    <n v="6.6484379999999996"/>
    <n v="6.6914059999999997"/>
    <n v="6.546875"/>
    <x v="1168"/>
    <n v="4.2083310000000003"/>
    <n v="92491200"/>
  </r>
  <r>
    <x v="2534"/>
    <n v="6.640625"/>
    <n v="6.6640629999999996"/>
    <n v="6.4833980000000002"/>
    <x v="1169"/>
    <n v="4.1197340000000002"/>
    <n v="92944000"/>
  </r>
  <r>
    <x v="2535"/>
    <n v="6.515625"/>
    <n v="6.5234379999999996"/>
    <n v="6.28125"/>
    <x v="1170"/>
    <n v="3.9671500000000002"/>
    <n v="66313600"/>
  </r>
  <r>
    <x v="2536"/>
    <n v="6.3203129999999996"/>
    <n v="6.3398440000000003"/>
    <n v="6.234375"/>
    <x v="1171"/>
    <n v="3.981916"/>
    <n v="48046400"/>
  </r>
  <r>
    <x v="2537"/>
    <n v="6.34375"/>
    <n v="6.3984379999999996"/>
    <n v="6.1757809999999997"/>
    <x v="1073"/>
    <n v="3.932696"/>
    <n v="63379200"/>
  </r>
  <r>
    <x v="2538"/>
    <n v="6.2109379999999996"/>
    <n v="6.4296879999999996"/>
    <n v="6.171875"/>
    <x v="1126"/>
    <n v="4.045903"/>
    <n v="79899200"/>
  </r>
  <r>
    <x v="2539"/>
    <n v="6.453125"/>
    <n v="6.5"/>
    <n v="6.3203129999999996"/>
    <x v="1156"/>
    <n v="4.0360589999999998"/>
    <n v="52729600"/>
  </r>
  <r>
    <x v="2540"/>
    <n v="6.3671879999999996"/>
    <n v="6.46875"/>
    <n v="6.3203129999999996"/>
    <x v="1172"/>
    <n v="4.0262149999999997"/>
    <n v="54955200"/>
  </r>
  <r>
    <x v="2541"/>
    <n v="6.3984379999999996"/>
    <n v="6.5078129999999996"/>
    <n v="6.3828129999999996"/>
    <x v="1173"/>
    <n v="4.06067"/>
    <n v="53508800"/>
  </r>
  <r>
    <x v="2542"/>
    <n v="6.4462890000000002"/>
    <n v="6.46875"/>
    <n v="6.3828129999999996"/>
    <x v="1126"/>
    <n v="4.045903"/>
    <n v="31692800"/>
  </r>
  <r>
    <x v="2543"/>
    <n v="6.421875"/>
    <n v="6.5625"/>
    <n v="6.4140629999999996"/>
    <x v="1169"/>
    <n v="4.1197340000000002"/>
    <n v="54396800"/>
  </r>
  <r>
    <x v="2544"/>
    <n v="6.5078129999999996"/>
    <n v="6.5703129999999996"/>
    <n v="6.4609379999999996"/>
    <x v="1174"/>
    <n v="4.1148110000000004"/>
    <n v="46072000"/>
  </r>
  <r>
    <x v="2545"/>
    <n v="6.5390629999999996"/>
    <n v="6.5546879999999996"/>
    <n v="6.46875"/>
    <x v="1175"/>
    <n v="4.1098889999999999"/>
    <n v="28961600"/>
  </r>
  <r>
    <x v="2546"/>
    <n v="6.40625"/>
    <n v="6.4921879999999996"/>
    <n v="6.3671879999999996"/>
    <x v="1176"/>
    <n v="4.0852779999999997"/>
    <n v="73753600"/>
  </r>
  <r>
    <x v="2547"/>
    <n v="6.5"/>
    <n v="6.5"/>
    <n v="6.34375"/>
    <x v="1177"/>
    <n v="4.0016069999999999"/>
    <n v="66942400"/>
  </r>
  <r>
    <x v="2548"/>
    <n v="6.34375"/>
    <n v="6.4375"/>
    <n v="6.328125"/>
    <x v="1177"/>
    <n v="4.0016069999999999"/>
    <n v="51910400"/>
  </r>
  <r>
    <x v="2549"/>
    <n v="6.34375"/>
    <n v="6.3984379999999996"/>
    <n v="6.2265629999999996"/>
    <x v="1171"/>
    <n v="3.981916"/>
    <n v="62465600"/>
  </r>
  <r>
    <x v="2550"/>
    <n v="6.3203129999999996"/>
    <n v="6.3515629999999996"/>
    <n v="6.28125"/>
    <x v="1171"/>
    <n v="3.981916"/>
    <n v="33737600"/>
  </r>
  <r>
    <x v="2551"/>
    <n v="6.3125"/>
    <n v="6.4765629999999996"/>
    <n v="6.3125"/>
    <x v="1178"/>
    <n v="4.0760500000000004"/>
    <n v="50102400"/>
  </r>
  <r>
    <x v="2552"/>
    <n v="6.515625"/>
    <n v="6.59375"/>
    <n v="6.5"/>
    <x v="1167"/>
    <n v="4.1443430000000001"/>
    <n v="80116800"/>
  </r>
  <r>
    <x v="2553"/>
    <n v="6.578125"/>
    <n v="6.625"/>
    <n v="6.5195309999999997"/>
    <x v="1179"/>
    <n v="4.1714130000000003"/>
    <n v="62630400"/>
  </r>
  <r>
    <x v="2554"/>
    <n v="6.625"/>
    <n v="6.828125"/>
    <n v="6.59375"/>
    <x v="1076"/>
    <n v="4.2920030000000002"/>
    <n v="133958400"/>
  </r>
  <r>
    <x v="2555"/>
    <n v="6.9765629999999996"/>
    <n v="7.0078129999999996"/>
    <n v="6.84375"/>
    <x v="1180"/>
    <n v="4.3215370000000002"/>
    <n v="169492800"/>
  </r>
  <r>
    <x v="2556"/>
    <n v="6.90625"/>
    <n v="7.0859379999999996"/>
    <n v="6.890625"/>
    <x v="1181"/>
    <n v="4.4396649999999998"/>
    <n v="92758400"/>
  </r>
  <r>
    <x v="2557"/>
    <n v="7.046875"/>
    <n v="7.078125"/>
    <n v="6.9609379999999996"/>
    <x v="1182"/>
    <n v="4.4347430000000001"/>
    <n v="57139200"/>
  </r>
  <r>
    <x v="2558"/>
    <n v="7.0625"/>
    <n v="7.0703129999999996"/>
    <n v="6.953125"/>
    <x v="1183"/>
    <n v="4.3904449999999997"/>
    <n v="69251200"/>
  </r>
  <r>
    <x v="2559"/>
    <n v="6.96875"/>
    <n v="7.109375"/>
    <n v="6.890625"/>
    <x v="1181"/>
    <n v="4.4396649999999998"/>
    <n v="63896000"/>
  </r>
  <r>
    <x v="2560"/>
    <n v="7.046875"/>
    <n v="7.1171879999999996"/>
    <n v="7.0234379999999996"/>
    <x v="1184"/>
    <n v="4.4691960000000002"/>
    <n v="54296000"/>
  </r>
  <r>
    <x v="2561"/>
    <n v="7.0859379999999996"/>
    <n v="7.09375"/>
    <n v="7"/>
    <x v="1182"/>
    <n v="4.4347430000000001"/>
    <n v="34267200"/>
  </r>
  <r>
    <x v="2562"/>
    <n v="7.0390629999999996"/>
    <n v="7.078125"/>
    <n v="6.9921879999999996"/>
    <x v="1185"/>
    <n v="4.459352"/>
    <n v="28441600"/>
  </r>
  <r>
    <x v="2563"/>
    <n v="7.0546879999999996"/>
    <n v="7.203125"/>
    <n v="7.0390629999999996"/>
    <x v="1186"/>
    <n v="4.533182"/>
    <n v="65014400"/>
  </r>
  <r>
    <x v="2564"/>
    <n v="7.1953129999999996"/>
    <n v="7.203125"/>
    <n v="6.9453129999999996"/>
    <x v="1187"/>
    <n v="4.3953670000000002"/>
    <n v="87340800"/>
  </r>
  <r>
    <x v="2565"/>
    <n v="7.03125"/>
    <n v="7.15625"/>
    <n v="6.8828129999999996"/>
    <x v="1188"/>
    <n v="4.3658349999999997"/>
    <n v="75300800"/>
  </r>
  <r>
    <x v="2566"/>
    <n v="6.9375"/>
    <n v="7.0234379999999996"/>
    <n v="6.8515629999999996"/>
    <x v="1189"/>
    <n v="4.4002879999999998"/>
    <n v="75852800"/>
  </r>
  <r>
    <x v="2567"/>
    <n v="6.9765629999999996"/>
    <n v="7.09375"/>
    <n v="6.9765629999999996"/>
    <x v="1190"/>
    <n v="4.4544319999999997"/>
    <n v="47366400"/>
  </r>
  <r>
    <x v="2568"/>
    <n v="7.0546879999999996"/>
    <n v="7.1484379999999996"/>
    <n v="6.921875"/>
    <x v="1191"/>
    <n v="4.4987310000000003"/>
    <n v="77851200"/>
  </r>
  <r>
    <x v="2569"/>
    <n v="7.140625"/>
    <n v="7.1953129999999996"/>
    <n v="7.078125"/>
    <x v="1184"/>
    <n v="4.4691960000000002"/>
    <n v="47776000"/>
  </r>
  <r>
    <x v="2570"/>
    <n v="7.1484379999999996"/>
    <n v="7.1962890000000002"/>
    <n v="7.1328129999999996"/>
    <x v="1192"/>
    <n v="4.5233400000000001"/>
    <n v="43913600"/>
  </r>
  <r>
    <x v="2571"/>
    <n v="7.1875"/>
    <n v="7.4296879999999996"/>
    <n v="7.1875"/>
    <x v="1193"/>
    <n v="4.6710000000000003"/>
    <n v="95606400"/>
  </r>
  <r>
    <x v="2572"/>
    <n v="7.453125"/>
    <n v="7.5"/>
    <n v="7.3896480000000002"/>
    <x v="1194"/>
    <n v="4.6857660000000001"/>
    <n v="76832000"/>
  </r>
  <r>
    <x v="2573"/>
    <n v="7.4375"/>
    <n v="7.484375"/>
    <n v="7.3359379999999996"/>
    <x v="1195"/>
    <n v="4.6316230000000003"/>
    <n v="56323200"/>
  </r>
  <r>
    <x v="2574"/>
    <n v="7.25"/>
    <n v="7.3359379999999996"/>
    <n v="7.2265629999999996"/>
    <x v="1196"/>
    <n v="4.6119370000000002"/>
    <n v="67092800"/>
  </r>
  <r>
    <x v="2575"/>
    <n v="7.3671879999999996"/>
    <n v="7.375"/>
    <n v="7.2734379999999996"/>
    <x v="1197"/>
    <n v="4.6070140000000004"/>
    <n v="35392000"/>
  </r>
  <r>
    <x v="2576"/>
    <n v="7.3359379999999996"/>
    <n v="7.3671879999999996"/>
    <n v="7.2890629999999996"/>
    <x v="1198"/>
    <n v="4.5971679999999999"/>
    <n v="38457600"/>
  </r>
  <r>
    <x v="2577"/>
    <n v="7.296875"/>
    <n v="7.3046879999999996"/>
    <n v="7.1953129999999996"/>
    <x v="1186"/>
    <n v="4.533182"/>
    <n v="42113600"/>
  </r>
  <r>
    <x v="2578"/>
    <n v="7.1875"/>
    <n v="7.328125"/>
    <n v="7.1640629999999996"/>
    <x v="1199"/>
    <n v="4.6020919999999998"/>
    <n v="45646400"/>
  </r>
  <r>
    <x v="2579"/>
    <n v="7.3046879999999996"/>
    <n v="7.4453129999999996"/>
    <n v="7.3046879999999996"/>
    <x v="1200"/>
    <n v="4.6660789999999999"/>
    <n v="51976000"/>
  </r>
  <r>
    <x v="2580"/>
    <n v="7.40625"/>
    <n v="7.4375"/>
    <n v="7.390625"/>
    <x v="1200"/>
    <n v="4.6660789999999999"/>
    <n v="26443200"/>
  </r>
  <r>
    <x v="2581"/>
    <n v="7.421875"/>
    <n v="7.4462890000000002"/>
    <n v="7.3203129999999996"/>
    <x v="1201"/>
    <n v="4.6168570000000004"/>
    <n v="43376000"/>
  </r>
  <r>
    <x v="2582"/>
    <n v="7.3359379999999996"/>
    <n v="7.390625"/>
    <n v="7.2890629999999996"/>
    <x v="1196"/>
    <n v="4.6119370000000002"/>
    <n v="33569600"/>
  </r>
  <r>
    <x v="2583"/>
    <n v="7.328125"/>
    <n v="7.390625"/>
    <n v="7.2890629999999996"/>
    <x v="1202"/>
    <n v="4.6562330000000003"/>
    <n v="33824000"/>
  </r>
  <r>
    <x v="2584"/>
    <n v="7.4101559999999997"/>
    <n v="7.4609379999999996"/>
    <n v="7.375"/>
    <x v="1203"/>
    <n v="4.6759219999999999"/>
    <n v="40259200"/>
  </r>
  <r>
    <x v="2585"/>
    <n v="7.421875"/>
    <n v="7.46875"/>
    <n v="7.3828129999999996"/>
    <x v="1204"/>
    <n v="4.6611570000000002"/>
    <n v="31684800"/>
  </r>
  <r>
    <x v="2586"/>
    <n v="7.4140629999999996"/>
    <n v="7.4296879999999996"/>
    <n v="7.265625"/>
    <x v="1205"/>
    <n v="4.6414679999999997"/>
    <n v="65852800"/>
  </r>
  <r>
    <x v="2587"/>
    <n v="7.375"/>
    <n v="7.578125"/>
    <n v="7.3671879999999996"/>
    <x v="1206"/>
    <n v="4.7595960000000002"/>
    <n v="50968000"/>
  </r>
  <r>
    <x v="2588"/>
    <n v="7.609375"/>
    <n v="7.6875"/>
    <n v="7.484375"/>
    <x v="1207"/>
    <n v="4.7177569999999998"/>
    <n v="88136000"/>
  </r>
  <r>
    <x v="2589"/>
    <n v="7.3515629999999996"/>
    <n v="7.578125"/>
    <n v="7.3515629999999996"/>
    <x v="1208"/>
    <n v="4.774362"/>
    <n v="70198400"/>
  </r>
  <r>
    <x v="2590"/>
    <n v="7.5625"/>
    <n v="7.578125"/>
    <n v="7.4990230000000002"/>
    <x v="1209"/>
    <n v="4.749752"/>
    <n v="45819200"/>
  </r>
  <r>
    <x v="2591"/>
    <n v="7.546875"/>
    <n v="7.703125"/>
    <n v="7.5390629999999996"/>
    <x v="1210"/>
    <n v="4.8088150000000001"/>
    <n v="65259200"/>
  </r>
  <r>
    <x v="2592"/>
    <n v="7.6796879999999996"/>
    <n v="7.8359379999999996"/>
    <n v="7.671875"/>
    <x v="1211"/>
    <n v="4.9220220000000001"/>
    <n v="88844800"/>
  </r>
  <r>
    <x v="2593"/>
    <n v="7.8203129999999996"/>
    <n v="7.8671879999999996"/>
    <n v="7.734375"/>
    <x v="1212"/>
    <n v="4.9072570000000004"/>
    <n v="62577600"/>
  </r>
  <r>
    <x v="2594"/>
    <n v="7.796875"/>
    <n v="7.8125"/>
    <n v="7.6796879999999996"/>
    <x v="1213"/>
    <n v="4.8432700000000004"/>
    <n v="55944000"/>
  </r>
  <r>
    <x v="2595"/>
    <n v="7.6953129999999996"/>
    <n v="7.8125"/>
    <n v="7.6484379999999996"/>
    <x v="1212"/>
    <n v="4.9072570000000004"/>
    <n v="57499200"/>
  </r>
  <r>
    <x v="2596"/>
    <n v="7.78125"/>
    <n v="7.78125"/>
    <n v="7.625"/>
    <x v="1214"/>
    <n v="4.8186600000000004"/>
    <n v="74585600"/>
  </r>
  <r>
    <x v="2597"/>
    <n v="7.65625"/>
    <n v="7.6953129999999996"/>
    <n v="7.5859379999999996"/>
    <x v="1215"/>
    <n v="4.7940490000000002"/>
    <n v="73409600"/>
  </r>
  <r>
    <x v="2598"/>
    <n v="7.625"/>
    <n v="7.6552730000000002"/>
    <n v="7.4375"/>
    <x v="1215"/>
    <n v="4.7940490000000002"/>
    <n v="102228800"/>
  </r>
  <r>
    <x v="2599"/>
    <n v="7.6484379999999996"/>
    <n v="7.7578129999999996"/>
    <n v="7.59375"/>
    <x v="1216"/>
    <n v="4.8777249999999999"/>
    <n v="56806400"/>
  </r>
  <r>
    <x v="2600"/>
    <n v="7.75"/>
    <n v="7.8203129999999996"/>
    <n v="7.6875"/>
    <x v="1217"/>
    <n v="4.8875690000000001"/>
    <n v="48102400"/>
  </r>
  <r>
    <x v="2601"/>
    <n v="7.765625"/>
    <n v="7.765625"/>
    <n v="7.5859379999999996"/>
    <x v="1218"/>
    <n v="4.8038949999999998"/>
    <n v="41145600"/>
  </r>
  <r>
    <x v="2602"/>
    <n v="7.6171879999999996"/>
    <n v="7.625"/>
    <n v="7.4375"/>
    <x v="1219"/>
    <n v="4.7448319999999997"/>
    <n v="71457600"/>
  </r>
  <r>
    <x v="2603"/>
    <n v="7.53125"/>
    <n v="7.5625"/>
    <n v="7.4375"/>
    <x v="1220"/>
    <n v="4.7226819999999998"/>
    <n v="77582400"/>
  </r>
  <r>
    <x v="2604"/>
    <n v="7.53125"/>
    <n v="7.5625"/>
    <n v="7.4453129999999996"/>
    <x v="1221"/>
    <n v="4.7300620000000002"/>
    <n v="52000000"/>
  </r>
  <r>
    <x v="2605"/>
    <n v="7.515625"/>
    <n v="7.65625"/>
    <n v="7.5078129999999996"/>
    <x v="1222"/>
    <n v="4.816198"/>
    <n v="47862400"/>
  </r>
  <r>
    <x v="2606"/>
    <n v="7.6484379999999996"/>
    <n v="7.6640629999999996"/>
    <n v="7.578125"/>
    <x v="1223"/>
    <n v="4.7891300000000001"/>
    <n v="38548800"/>
  </r>
  <r>
    <x v="2607"/>
    <n v="7.6015629999999996"/>
    <n v="7.6796879999999996"/>
    <n v="7.5390629999999996"/>
    <x v="1224"/>
    <n v="4.7694419999999997"/>
    <n v="44243200"/>
  </r>
  <r>
    <x v="2608"/>
    <n v="7.5078129999999996"/>
    <n v="7.5078129999999996"/>
    <n v="7.3984379999999996"/>
    <x v="1204"/>
    <n v="4.6611570000000002"/>
    <n v="35331200"/>
  </r>
  <r>
    <x v="2609"/>
    <n v="7.40625"/>
    <n v="7.546875"/>
    <n v="7.3828129999999996"/>
    <x v="1225"/>
    <n v="4.7374470000000004"/>
    <n v="64432000"/>
  </r>
  <r>
    <x v="2610"/>
    <n v="7.5546879999999996"/>
    <n v="7.5859379999999996"/>
    <n v="7.5"/>
    <x v="1226"/>
    <n v="4.725142"/>
    <n v="35571200"/>
  </r>
  <r>
    <x v="2611"/>
    <n v="7.5"/>
    <n v="7.5"/>
    <n v="7.3828129999999996"/>
    <x v="1227"/>
    <n v="4.7054539999999996"/>
    <n v="77980800"/>
  </r>
  <r>
    <x v="2612"/>
    <n v="7.390625"/>
    <n v="7.3984379999999996"/>
    <n v="7.109375"/>
    <x v="1228"/>
    <n v="4.5085730000000002"/>
    <n v="140915200"/>
  </r>
  <r>
    <x v="2613"/>
    <n v="7.1992190000000003"/>
    <n v="7.1992190000000003"/>
    <n v="6.9052730000000002"/>
    <x v="1229"/>
    <n v="4.4248979999999998"/>
    <n v="139478400"/>
  </r>
  <r>
    <x v="2614"/>
    <n v="7.0234379999999996"/>
    <n v="7.109375"/>
    <n v="6.8671879999999996"/>
    <x v="1230"/>
    <n v="4.3559890000000001"/>
    <n v="111832000"/>
  </r>
  <r>
    <x v="2615"/>
    <n v="6.890625"/>
    <n v="7.2265629999999996"/>
    <n v="6.71875"/>
    <x v="1231"/>
    <n v="4.5430270000000004"/>
    <n v="182100800"/>
  </r>
  <r>
    <x v="2616"/>
    <n v="7.359375"/>
    <n v="7.3828129999999996"/>
    <n v="7.2265629999999996"/>
    <x v="1196"/>
    <n v="4.6119370000000002"/>
    <n v="126208000"/>
  </r>
  <r>
    <x v="2617"/>
    <n v="7.328125"/>
    <n v="7.5"/>
    <n v="7.2421879999999996"/>
    <x v="1232"/>
    <n v="4.7202190000000002"/>
    <n v="98537600"/>
  </r>
  <r>
    <x v="2618"/>
    <n v="7.359375"/>
    <n v="7.6015629999999996"/>
    <n v="7.359375"/>
    <x v="1233"/>
    <n v="4.7639019999999999"/>
    <n v="99208000"/>
  </r>
  <r>
    <x v="2619"/>
    <n v="7.5634769999999998"/>
    <n v="7.59375"/>
    <n v="7.3671879999999996"/>
    <x v="1234"/>
    <n v="4.7152969999999996"/>
    <n v="144475200"/>
  </r>
  <r>
    <x v="2620"/>
    <n v="7.5"/>
    <n v="7.5"/>
    <n v="6.890625"/>
    <x v="1235"/>
    <n v="4.4150559999999999"/>
    <n v="257678400"/>
  </r>
  <r>
    <x v="2621"/>
    <n v="6.84375"/>
    <n v="7.234375"/>
    <n v="6.84375"/>
    <x v="1236"/>
    <n v="4.5184160000000002"/>
    <n v="192225600"/>
  </r>
  <r>
    <x v="2622"/>
    <n v="7.25"/>
    <n v="7.421875"/>
    <n v="7.1953129999999996"/>
    <x v="1200"/>
    <n v="4.6660789999999999"/>
    <n v="100920000"/>
  </r>
  <r>
    <x v="2623"/>
    <n v="7.46875"/>
    <n v="7.46875"/>
    <n v="7.390625"/>
    <x v="1237"/>
    <n v="4.6906879999999997"/>
    <n v="59304000"/>
  </r>
  <r>
    <x v="2624"/>
    <n v="7.453125"/>
    <n v="7.4921879999999996"/>
    <n v="7.296875"/>
    <x v="1199"/>
    <n v="4.6020919999999998"/>
    <n v="56748800"/>
  </r>
  <r>
    <x v="2625"/>
    <n v="7.3671879999999996"/>
    <n v="7.421875"/>
    <n v="7.2578129999999996"/>
    <x v="1193"/>
    <n v="4.6710000000000003"/>
    <n v="66976000"/>
  </r>
  <r>
    <x v="2626"/>
    <n v="7.4375"/>
    <n v="7.4765629999999996"/>
    <n v="7.3515629999999996"/>
    <x v="1205"/>
    <n v="4.6414679999999997"/>
    <n v="56320000"/>
  </r>
  <r>
    <x v="2627"/>
    <n v="7.3671879999999996"/>
    <n v="7.5546879999999996"/>
    <n v="7.3359379999999996"/>
    <x v="1209"/>
    <n v="4.749752"/>
    <n v="96025600"/>
  </r>
  <r>
    <x v="2628"/>
    <n v="7.6328129999999996"/>
    <n v="7.7421879999999996"/>
    <n v="7.5390629999999996"/>
    <x v="1238"/>
    <n v="4.8580370000000004"/>
    <n v="109289600"/>
  </r>
  <r>
    <x v="2629"/>
    <n v="7.71875"/>
    <n v="7.734375"/>
    <n v="7.578125"/>
    <x v="1215"/>
    <n v="4.7940490000000002"/>
    <n v="55072000"/>
  </r>
  <r>
    <x v="2630"/>
    <n v="7.6015629999999996"/>
    <n v="7.7578129999999996"/>
    <n v="7.5546879999999996"/>
    <x v="1239"/>
    <n v="4.8826450000000001"/>
    <n v="67388800"/>
  </r>
  <r>
    <x v="2631"/>
    <n v="7.7734379999999996"/>
    <n v="7.8203129999999996"/>
    <n v="7.6796879999999996"/>
    <x v="1240"/>
    <n v="4.9121800000000002"/>
    <n v="76790400"/>
  </r>
  <r>
    <x v="2632"/>
    <n v="7.7578129999999996"/>
    <n v="7.8671879999999996"/>
    <n v="7.734375"/>
    <x v="1241"/>
    <n v="4.9318660000000003"/>
    <n v="54379200"/>
  </r>
  <r>
    <x v="2633"/>
    <n v="7.796875"/>
    <n v="7.84375"/>
    <n v="7.7421879999999996"/>
    <x v="1242"/>
    <n v="4.902336"/>
    <n v="44313600"/>
  </r>
  <r>
    <x v="2634"/>
    <n v="7.765625"/>
    <n v="7.8828129999999996"/>
    <n v="7.75"/>
    <x v="1241"/>
    <n v="4.9318660000000003"/>
    <n v="66187200"/>
  </r>
  <r>
    <x v="2635"/>
    <n v="7.8125"/>
    <n v="7.8671879999999996"/>
    <n v="7.7109379999999996"/>
    <x v="1243"/>
    <n v="4.8629569999999998"/>
    <n v="72508800"/>
  </r>
  <r>
    <x v="2636"/>
    <n v="7.7421879999999996"/>
    <n v="7.8203129999999996"/>
    <n v="7.734375"/>
    <x v="1244"/>
    <n v="4.9170999999999996"/>
    <n v="52032000"/>
  </r>
  <r>
    <x v="2637"/>
    <n v="7.796875"/>
    <n v="7.859375"/>
    <n v="7.7734379999999996"/>
    <x v="1245"/>
    <n v="4.9269449999999999"/>
    <n v="35556800"/>
  </r>
  <r>
    <x v="2638"/>
    <n v="7.8203129999999996"/>
    <n v="7.828125"/>
    <n v="7.734375"/>
    <x v="1246"/>
    <n v="4.8924909999999997"/>
    <n v="47598400"/>
  </r>
  <r>
    <x v="2639"/>
    <n v="7.7421879999999996"/>
    <n v="7.7578129999999996"/>
    <n v="7.640625"/>
    <x v="1243"/>
    <n v="4.8629569999999998"/>
    <n v="43131200"/>
  </r>
  <r>
    <x v="2640"/>
    <n v="7.734375"/>
    <n v="7.7578129999999996"/>
    <n v="7.703125"/>
    <x v="1238"/>
    <n v="4.8580370000000004"/>
    <n v="25678400"/>
  </r>
  <r>
    <x v="2641"/>
    <n v="7.65625"/>
    <n v="7.71875"/>
    <n v="7.609375"/>
    <x v="1243"/>
    <n v="4.8629569999999998"/>
    <n v="49345600"/>
  </r>
  <r>
    <x v="2642"/>
    <n v="7.7578129999999996"/>
    <n v="7.8203129999999996"/>
    <n v="7.71875"/>
    <x v="1211"/>
    <n v="4.9220220000000001"/>
    <n v="50236800"/>
  </r>
  <r>
    <x v="2643"/>
    <n v="7.8046879999999996"/>
    <n v="7.8125"/>
    <n v="7.703125"/>
    <x v="1247"/>
    <n v="4.8531149999999998"/>
    <n v="44006400"/>
  </r>
  <r>
    <x v="2644"/>
    <n v="7.7109379999999996"/>
    <n v="7.734375"/>
    <n v="7.671875"/>
    <x v="1248"/>
    <n v="4.8383479999999999"/>
    <n v="31944000"/>
  </r>
  <r>
    <x v="2645"/>
    <n v="7.6953129999999996"/>
    <n v="7.796875"/>
    <n v="7.6875"/>
    <x v="1240"/>
    <n v="4.9121800000000002"/>
    <n v="28038400"/>
  </r>
  <r>
    <x v="2646"/>
    <n v="7.8125"/>
    <n v="7.859375"/>
    <n v="7.8046879999999996"/>
    <x v="1249"/>
    <n v="4.9466320000000001"/>
    <n v="32070400"/>
  </r>
  <r>
    <x v="2647"/>
    <n v="7.828125"/>
    <n v="7.828125"/>
    <n v="7.7265629999999996"/>
    <x v="1217"/>
    <n v="4.8875690000000001"/>
    <n v="34182400"/>
  </r>
  <r>
    <x v="2648"/>
    <n v="7.765625"/>
    <n v="7.765625"/>
    <n v="7.65625"/>
    <x v="1250"/>
    <n v="4.823582"/>
    <n v="28088000"/>
  </r>
  <r>
    <x v="2649"/>
    <n v="7.625"/>
    <n v="7.7109379999999996"/>
    <n v="7.5390629999999996"/>
    <x v="1238"/>
    <n v="4.8580370000000004"/>
    <n v="48524800"/>
  </r>
  <r>
    <x v="2650"/>
    <n v="7.7109379999999996"/>
    <n v="7.7265629999999996"/>
    <n v="7.6835940000000003"/>
    <x v="1238"/>
    <n v="4.8580370000000004"/>
    <n v="27126400"/>
  </r>
  <r>
    <x v="2651"/>
    <n v="7.671875"/>
    <n v="7.671875"/>
    <n v="7.59375"/>
    <x v="1251"/>
    <n v="4.7842060000000002"/>
    <n v="40372800"/>
  </r>
  <r>
    <x v="2652"/>
    <n v="7.625"/>
    <n v="7.671875"/>
    <n v="7.6015629999999996"/>
    <x v="1250"/>
    <n v="4.823582"/>
    <n v="41921600"/>
  </r>
  <r>
    <x v="2653"/>
    <n v="7.65625"/>
    <n v="7.8125"/>
    <n v="7.640625"/>
    <x v="1244"/>
    <n v="4.9170999999999996"/>
    <n v="41747200"/>
  </r>
  <r>
    <x v="2654"/>
    <n v="7.796875"/>
    <n v="7.8203129999999996"/>
    <n v="7.7265629999999996"/>
    <x v="1252"/>
    <n v="4.8974140000000004"/>
    <n v="38904000"/>
  </r>
  <r>
    <x v="2655"/>
    <n v="7.7460940000000003"/>
    <n v="7.84375"/>
    <n v="7.7265629999999996"/>
    <x v="1245"/>
    <n v="4.9269449999999999"/>
    <n v="36387200"/>
  </r>
  <r>
    <x v="2656"/>
    <n v="7.84375"/>
    <n v="8.09375"/>
    <n v="7.8242190000000003"/>
    <x v="1253"/>
    <n v="5.0647630000000001"/>
    <n v="95944000"/>
  </r>
  <r>
    <x v="2657"/>
    <n v="8.1015630000000005"/>
    <n v="8.2109380000000005"/>
    <n v="8.0546880000000005"/>
    <x v="1254"/>
    <n v="5.1582800000000004"/>
    <n v="80137600"/>
  </r>
  <r>
    <x v="2658"/>
    <n v="8.1953130000000005"/>
    <n v="8.3203130000000005"/>
    <n v="8.1875"/>
    <x v="1255"/>
    <n v="5.1779679999999999"/>
    <n v="62409600"/>
  </r>
  <r>
    <x v="2659"/>
    <n v="8.3046880000000005"/>
    <n v="8.4140630000000005"/>
    <n v="8.265625"/>
    <x v="1256"/>
    <n v="5.2714879999999997"/>
    <n v="75624000"/>
  </r>
  <r>
    <x v="2660"/>
    <n v="8.375"/>
    <n v="8.6171880000000005"/>
    <n v="8.328125"/>
    <x v="1257"/>
    <n v="5.3748480000000001"/>
    <n v="86049600"/>
  </r>
  <r>
    <x v="2661"/>
    <n v="8.53125"/>
    <n v="8.640625"/>
    <n v="8.484375"/>
    <x v="1258"/>
    <n v="5.4240700000000004"/>
    <n v="75912000"/>
  </r>
  <r>
    <x v="2662"/>
    <n v="8.5625"/>
    <n v="8.6640630000000005"/>
    <n v="8.4921880000000005"/>
    <x v="1259"/>
    <n v="5.4388370000000004"/>
    <n v="104849600"/>
  </r>
  <r>
    <x v="2663"/>
    <n v="8.6015630000000005"/>
    <n v="8.6328130000000005"/>
    <n v="8.515625"/>
    <x v="1258"/>
    <n v="5.4240700000000004"/>
    <n v="46385600"/>
  </r>
  <r>
    <x v="2664"/>
    <n v="8.59375"/>
    <n v="8.6484380000000005"/>
    <n v="8.5078130000000005"/>
    <x v="1260"/>
    <n v="5.3896160000000002"/>
    <n v="72520000"/>
  </r>
  <r>
    <x v="2665"/>
    <n v="8.59375"/>
    <n v="8.6171880000000005"/>
    <n v="8.4609380000000005"/>
    <x v="1261"/>
    <n v="5.3403939999999999"/>
    <n v="44067200"/>
  </r>
  <r>
    <x v="2666"/>
    <n v="8.484375"/>
    <n v="8.5078130000000005"/>
    <n v="8.234375"/>
    <x v="1262"/>
    <n v="5.1976550000000001"/>
    <n v="92604800"/>
  </r>
  <r>
    <x v="2667"/>
    <n v="8.28125"/>
    <n v="8.453125"/>
    <n v="8.203125"/>
    <x v="1263"/>
    <n v="5.291175"/>
    <n v="98372800"/>
  </r>
  <r>
    <x v="2668"/>
    <n v="8.34375"/>
    <n v="8.4296880000000005"/>
    <n v="8.234375"/>
    <x v="1264"/>
    <n v="5.1927339999999997"/>
    <n v="89574400"/>
  </r>
  <r>
    <x v="2669"/>
    <n v="8.234375"/>
    <n v="8.3671880000000005"/>
    <n v="8.1796880000000005"/>
    <x v="1265"/>
    <n v="5.2025800000000002"/>
    <n v="69124800"/>
  </r>
  <r>
    <x v="2670"/>
    <n v="8.3046880000000005"/>
    <n v="8.484375"/>
    <n v="8.2734380000000005"/>
    <x v="1266"/>
    <n v="5.3059399999999997"/>
    <n v="68760000"/>
  </r>
  <r>
    <x v="2671"/>
    <n v="8.421875"/>
    <n v="8.4453130000000005"/>
    <n v="8.3515630000000005"/>
    <x v="1267"/>
    <n v="5.2764090000000001"/>
    <n v="58294400"/>
  </r>
  <r>
    <x v="2672"/>
    <n v="8.4140630000000005"/>
    <n v="8.5390630000000005"/>
    <n v="8.390625"/>
    <x v="1268"/>
    <n v="5.3699260000000004"/>
    <n v="45166400"/>
  </r>
  <r>
    <x v="2673"/>
    <n v="8.5234380000000005"/>
    <n v="8.6328130000000005"/>
    <n v="8.4921880000000005"/>
    <x v="1269"/>
    <n v="5.4142260000000002"/>
    <n v="42432000"/>
  </r>
  <r>
    <x v="2674"/>
    <n v="8.609375"/>
    <n v="8.609375"/>
    <n v="8.4375"/>
    <x v="1270"/>
    <n v="5.3305509999999998"/>
    <n v="48465600"/>
  </r>
  <r>
    <x v="2675"/>
    <n v="8.5"/>
    <n v="8.5078130000000005"/>
    <n v="8.328125"/>
    <x v="1271"/>
    <n v="5.2960969999999996"/>
    <n v="64955200"/>
  </r>
  <r>
    <x v="2676"/>
    <n v="8.359375"/>
    <n v="8.5078130000000005"/>
    <n v="8.3359380000000005"/>
    <x v="1272"/>
    <n v="5.2665629999999997"/>
    <n v="51739200"/>
  </r>
  <r>
    <x v="2677"/>
    <n v="8.4140630000000005"/>
    <n v="8.578125"/>
    <n v="8.390625"/>
    <x v="1273"/>
    <n v="5.3994590000000002"/>
    <n v="36523200"/>
  </r>
  <r>
    <x v="2678"/>
    <n v="8.5859380000000005"/>
    <n v="8.6328130000000005"/>
    <n v="8.5234380000000005"/>
    <x v="1274"/>
    <n v="5.3797709999999999"/>
    <n v="36091200"/>
  </r>
  <r>
    <x v="2679"/>
    <n v="8.671875"/>
    <n v="8.6953130000000005"/>
    <n v="8.5859380000000005"/>
    <x v="1275"/>
    <n v="5.468369"/>
    <n v="61206400"/>
  </r>
  <r>
    <x v="2680"/>
    <n v="8.671875"/>
    <n v="8.6835939999999994"/>
    <n v="8.5625"/>
    <x v="1276"/>
    <n v="5.4339139999999997"/>
    <n v="36427200"/>
  </r>
  <r>
    <x v="2681"/>
    <n v="8.640625"/>
    <n v="8.6875"/>
    <n v="8.46875"/>
    <x v="1277"/>
    <n v="5.3354739999999996"/>
    <n v="49097600"/>
  </r>
  <r>
    <x v="2682"/>
    <n v="8.375"/>
    <n v="8.4375"/>
    <n v="8.3476560000000006"/>
    <x v="1266"/>
    <n v="5.3059399999999997"/>
    <n v="69646400"/>
  </r>
  <r>
    <x v="2683"/>
    <n v="8.421875"/>
    <n v="8.5"/>
    <n v="8.34375"/>
    <x v="1267"/>
    <n v="5.2764090000000001"/>
    <n v="71401600"/>
  </r>
  <r>
    <x v="2684"/>
    <n v="8.3203130000000005"/>
    <n v="8.3359380000000005"/>
    <n v="8.203125"/>
    <x v="1278"/>
    <n v="5.2173449999999999"/>
    <n v="113806400"/>
  </r>
  <r>
    <x v="2685"/>
    <n v="8.2890630000000005"/>
    <n v="8.421875"/>
    <n v="8.234375"/>
    <x v="1271"/>
    <n v="5.2960969999999996"/>
    <n v="67443200"/>
  </r>
  <r>
    <x v="2686"/>
    <n v="8.4296880000000005"/>
    <n v="8.5859380000000005"/>
    <n v="8.3671880000000005"/>
    <x v="1274"/>
    <n v="5.3797709999999999"/>
    <n v="81417600"/>
  </r>
  <r>
    <x v="2687"/>
    <n v="8.5390630000000005"/>
    <n v="8.6171880000000005"/>
    <n v="8.5078130000000005"/>
    <x v="1279"/>
    <n v="5.3723879999999999"/>
    <n v="53084800"/>
  </r>
  <r>
    <x v="2688"/>
    <n v="8.5429689999999994"/>
    <n v="8.6015630000000005"/>
    <n v="8.515625"/>
    <x v="1274"/>
    <n v="5.3797709999999999"/>
    <n v="51240000"/>
  </r>
  <r>
    <x v="2689"/>
    <n v="8.5546880000000005"/>
    <n v="8.5859380000000005"/>
    <n v="8.4296880000000005"/>
    <x v="1270"/>
    <n v="5.3305509999999998"/>
    <n v="66756800"/>
  </r>
  <r>
    <x v="2690"/>
    <n v="8.4609380000000005"/>
    <n v="8.5625"/>
    <n v="8.4296880000000005"/>
    <x v="1280"/>
    <n v="5.3650029999999997"/>
    <n v="60526400"/>
  </r>
  <r>
    <x v="2691"/>
    <n v="8.5234380000000005"/>
    <n v="8.5859380000000005"/>
    <n v="8.5078130000000005"/>
    <x v="1281"/>
    <n v="5.4043799999999997"/>
    <n v="37028800"/>
  </r>
  <r>
    <x v="2692"/>
    <n v="8.578125"/>
    <n v="8.671875"/>
    <n v="8.53125"/>
    <x v="1282"/>
    <n v="5.4093059999999999"/>
    <n v="56531200"/>
  </r>
  <r>
    <x v="2693"/>
    <n v="8.578125"/>
    <n v="8.6484380000000005"/>
    <n v="8.546875"/>
    <x v="1276"/>
    <n v="5.4339139999999997"/>
    <n v="36006400"/>
  </r>
  <r>
    <x v="2694"/>
    <n v="8.65625"/>
    <n v="8.84375"/>
    <n v="8.6445310000000006"/>
    <x v="1283"/>
    <n v="5.5717309999999998"/>
    <n v="86417600"/>
  </r>
  <r>
    <x v="2695"/>
    <n v="8.8359380000000005"/>
    <n v="9.03125"/>
    <n v="8.8125"/>
    <x v="1284"/>
    <n v="5.6898600000000004"/>
    <n v="71438400"/>
  </r>
  <r>
    <x v="2696"/>
    <n v="9.046875"/>
    <n v="9.1328130000000005"/>
    <n v="8.9453130000000005"/>
    <x v="1285"/>
    <n v="5.6504839999999996"/>
    <n v="76742400"/>
  </r>
  <r>
    <x v="2697"/>
    <n v="8.9609380000000005"/>
    <n v="8.96875"/>
    <n v="8.84375"/>
    <x v="1285"/>
    <n v="5.6504839999999996"/>
    <n v="67369600"/>
  </r>
  <r>
    <x v="2698"/>
    <n v="8.9609380000000005"/>
    <n v="9.046875"/>
    <n v="8.9375"/>
    <x v="1286"/>
    <n v="5.6554060000000002"/>
    <n v="38593600"/>
  </r>
  <r>
    <x v="2699"/>
    <n v="9"/>
    <n v="9.1171880000000005"/>
    <n v="8.84375"/>
    <x v="1287"/>
    <n v="5.5815739999999998"/>
    <n v="81156800"/>
  </r>
  <r>
    <x v="2700"/>
    <n v="8.9765630000000005"/>
    <n v="9.109375"/>
    <n v="8.9453130000000005"/>
    <x v="1288"/>
    <n v="5.7095459999999996"/>
    <n v="90409600"/>
  </r>
  <r>
    <x v="2701"/>
    <n v="9.078125"/>
    <n v="9.3515630000000005"/>
    <n v="9.078125"/>
    <x v="1289"/>
    <n v="5.8916630000000003"/>
    <n v="114969600"/>
  </r>
  <r>
    <x v="2702"/>
    <n v="9.421875"/>
    <n v="9.4296880000000005"/>
    <n v="9.2109380000000005"/>
    <x v="1290"/>
    <n v="5.8670489999999997"/>
    <n v="104041600"/>
  </r>
  <r>
    <x v="2703"/>
    <n v="9.3359380000000005"/>
    <n v="9.484375"/>
    <n v="9.2890630000000005"/>
    <x v="1291"/>
    <n v="5.9211929999999997"/>
    <n v="98585600"/>
  </r>
  <r>
    <x v="2704"/>
    <n v="9.40625"/>
    <n v="9.7421880000000005"/>
    <n v="9.390625"/>
    <x v="1292"/>
    <n v="6.1377639999999998"/>
    <n v="104739200"/>
  </r>
  <r>
    <x v="2705"/>
    <n v="9.75"/>
    <n v="9.875"/>
    <n v="9.578125"/>
    <x v="1293"/>
    <n v="6.0343980000000004"/>
    <n v="123857600"/>
  </r>
  <r>
    <x v="2706"/>
    <n v="9.65625"/>
    <n v="9.6640630000000005"/>
    <n v="9.375"/>
    <x v="1291"/>
    <n v="5.9211929999999997"/>
    <n v="130718400"/>
  </r>
  <r>
    <x v="2707"/>
    <n v="9.421875"/>
    <n v="9.53125"/>
    <n v="9.3359380000000005"/>
    <x v="1294"/>
    <n v="5.9261150000000002"/>
    <n v="94424000"/>
  </r>
  <r>
    <x v="2708"/>
    <n v="9.4453130000000005"/>
    <n v="9.6015630000000005"/>
    <n v="9.40625"/>
    <x v="1295"/>
    <n v="6.0442429999999998"/>
    <n v="75129600"/>
  </r>
  <r>
    <x v="2709"/>
    <n v="9.625"/>
    <n v="9.7109380000000005"/>
    <n v="9.5234380000000005"/>
    <x v="1296"/>
    <n v="6.054087"/>
    <n v="108238400"/>
  </r>
  <r>
    <x v="2710"/>
    <n v="9.6328130000000005"/>
    <n v="9.734375"/>
    <n v="9.609375"/>
    <x v="1297"/>
    <n v="6.1229959999999997"/>
    <n v="44446400"/>
  </r>
  <r>
    <x v="2711"/>
    <n v="9.71875"/>
    <n v="9.8203130000000005"/>
    <n v="9.71875"/>
    <x v="1298"/>
    <n v="6.177136"/>
    <n v="17152000"/>
  </r>
  <r>
    <x v="2712"/>
    <n v="9.84375"/>
    <n v="9.859375"/>
    <n v="9.703125"/>
    <x v="1299"/>
    <n v="6.2115929999999997"/>
    <n v="64502400"/>
  </r>
  <r>
    <x v="2713"/>
    <n v="9.8984380000000005"/>
    <n v="9.96875"/>
    <n v="9.6640630000000005"/>
    <x v="1300"/>
    <n v="6.0910019999999996"/>
    <n v="77563200"/>
  </r>
  <r>
    <x v="2714"/>
    <n v="9.6953130000000005"/>
    <n v="9.703125"/>
    <n v="9.5078130000000005"/>
    <x v="1293"/>
    <n v="6.0343980000000004"/>
    <n v="102542400"/>
  </r>
  <r>
    <x v="2715"/>
    <n v="9.5859380000000005"/>
    <n v="9.7109380000000005"/>
    <n v="9.4921880000000005"/>
    <x v="1301"/>
    <n v="6.024553"/>
    <n v="74950400"/>
  </r>
  <r>
    <x v="2716"/>
    <n v="9.3125"/>
    <n v="9.65625"/>
    <n v="9.2666020000000007"/>
    <x v="1302"/>
    <n v="6.0196360000000002"/>
    <n v="110238400"/>
  </r>
  <r>
    <x v="2717"/>
    <n v="9.796875"/>
    <n v="10.234375"/>
    <n v="9.75"/>
    <x v="1303"/>
    <n v="6.438008"/>
    <n v="94718400"/>
  </r>
  <r>
    <x v="2718"/>
    <n v="10.546875"/>
    <n v="10.570313000000001"/>
    <n v="10.21875"/>
    <x v="1304"/>
    <n v="6.4478470000000003"/>
    <n v="125725600"/>
  </r>
  <r>
    <x v="2719"/>
    <n v="10.125"/>
    <n v="10.453125"/>
    <n v="10.015625"/>
    <x v="1305"/>
    <n v="6.5659780000000003"/>
    <n v="113558400"/>
  </r>
  <r>
    <x v="2720"/>
    <n v="10.625"/>
    <n v="10.65625"/>
    <n v="10.125"/>
    <x v="1306"/>
    <n v="6.3789410000000002"/>
    <n v="78272800"/>
  </r>
  <r>
    <x v="2721"/>
    <n v="10.140625"/>
    <n v="10.25"/>
    <n v="9.9042969999999997"/>
    <x v="1307"/>
    <n v="6.3001889999999996"/>
    <n v="74532000"/>
  </r>
  <r>
    <x v="2722"/>
    <n v="10.03125"/>
    <n v="10.09375"/>
    <n v="9.5625"/>
    <x v="1295"/>
    <n v="6.0442429999999998"/>
    <n v="64883200"/>
  </r>
  <r>
    <x v="2723"/>
    <n v="9.578125"/>
    <n v="10.015625"/>
    <n v="9.546875"/>
    <x v="1308"/>
    <n v="6.2903440000000002"/>
    <n v="68944800"/>
  </r>
  <r>
    <x v="2724"/>
    <n v="10.171875"/>
    <n v="10.34375"/>
    <n v="10"/>
    <x v="1309"/>
    <n v="6.5069169999999996"/>
    <n v="61796800"/>
  </r>
  <r>
    <x v="2725"/>
    <n v="10.5"/>
    <n v="10.640625"/>
    <n v="10.375"/>
    <x v="1310"/>
    <n v="6.6841090000000003"/>
    <n v="94609600"/>
  </r>
  <r>
    <x v="2726"/>
    <n v="10.6875"/>
    <n v="10.703125"/>
    <n v="10.421875"/>
    <x v="1311"/>
    <n v="6.5856649999999997"/>
    <n v="90414400"/>
  </r>
  <r>
    <x v="2727"/>
    <n v="10.515625"/>
    <n v="10.59375"/>
    <n v="10.359375"/>
    <x v="1312"/>
    <n v="6.59551"/>
    <n v="36892800"/>
  </r>
  <r>
    <x v="2728"/>
    <n v="10.515625"/>
    <n v="10.640625"/>
    <n v="10.390625"/>
    <x v="1310"/>
    <n v="6.6841090000000003"/>
    <n v="16246400"/>
  </r>
  <r>
    <x v="2729"/>
    <n v="10.65625"/>
    <n v="10.765625"/>
    <n v="10.640625"/>
    <x v="1313"/>
    <n v="6.7333280000000002"/>
    <n v="27905600"/>
  </r>
  <r>
    <x v="2730"/>
    <n v="10.6875"/>
    <n v="10.71875"/>
    <n v="10.501953"/>
    <x v="1314"/>
    <n v="6.6348890000000003"/>
    <n v="19079200"/>
  </r>
  <r>
    <x v="2731"/>
    <n v="10.671875"/>
    <n v="10.703125"/>
    <n v="10.4375"/>
    <x v="1315"/>
    <n v="6.5758210000000004"/>
    <n v="27279200"/>
  </r>
  <r>
    <x v="2732"/>
    <n v="10.5"/>
    <n v="10.53125"/>
    <n v="10.3125"/>
    <x v="1309"/>
    <n v="6.5069169999999996"/>
    <n v="34367200"/>
  </r>
  <r>
    <x v="2733"/>
    <n v="10.390625"/>
    <n v="10.390625"/>
    <n v="10.09375"/>
    <x v="1316"/>
    <n v="6.4281620000000004"/>
    <n v="54480800"/>
  </r>
  <r>
    <x v="2734"/>
    <n v="10.28125"/>
    <n v="10.59375"/>
    <n v="10.25"/>
    <x v="1317"/>
    <n v="6.6644189999999996"/>
    <n v="44131200"/>
  </r>
  <r>
    <x v="2735"/>
    <n v="10.578125"/>
    <n v="10.65625"/>
    <n v="10.390625"/>
    <x v="1318"/>
    <n v="6.6447320000000003"/>
    <n v="55948000"/>
  </r>
  <r>
    <x v="2736"/>
    <n v="10.5625"/>
    <n v="10.640625"/>
    <n v="10.421875"/>
    <x v="1319"/>
    <n v="6.6939500000000001"/>
    <n v="36880800"/>
  </r>
  <r>
    <x v="2737"/>
    <n v="10.625"/>
    <n v="10.654297"/>
    <n v="10.390625"/>
    <x v="1305"/>
    <n v="6.5659780000000003"/>
    <n v="50593600"/>
  </r>
  <r>
    <x v="2738"/>
    <n v="10.46875"/>
    <n v="10.46875"/>
    <n v="10.28125"/>
    <x v="1320"/>
    <n v="6.4872259999999997"/>
    <n v="47763200"/>
  </r>
  <r>
    <x v="2739"/>
    <n v="10.25"/>
    <n v="10.546875"/>
    <n v="10.203125"/>
    <x v="1314"/>
    <n v="6.6348890000000003"/>
    <n v="66556800"/>
  </r>
  <r>
    <x v="2740"/>
    <n v="10.640625"/>
    <n v="10.6875"/>
    <n v="10.4375"/>
    <x v="1312"/>
    <n v="6.59551"/>
    <n v="50361600"/>
  </r>
  <r>
    <x v="2741"/>
    <n v="10.53125"/>
    <n v="10.828125"/>
    <n v="10.53125"/>
    <x v="1321"/>
    <n v="6.7234829999999999"/>
    <n v="63728000"/>
  </r>
  <r>
    <x v="2742"/>
    <n v="10.703125"/>
    <n v="10.78125"/>
    <n v="10.546875"/>
    <x v="1317"/>
    <n v="6.6644189999999996"/>
    <n v="53058400"/>
  </r>
  <r>
    <x v="2743"/>
    <n v="10.625"/>
    <n v="10.890625"/>
    <n v="10.625"/>
    <x v="1322"/>
    <n v="6.7727009999999996"/>
    <n v="58688000"/>
  </r>
  <r>
    <x v="2744"/>
    <n v="10.703125"/>
    <n v="10.96875"/>
    <n v="10.6875"/>
    <x v="1323"/>
    <n v="6.8613020000000002"/>
    <n v="65368800"/>
  </r>
  <r>
    <x v="2745"/>
    <n v="10.875"/>
    <n v="11.609375"/>
    <n v="10.828125"/>
    <x v="1324"/>
    <n v="7.1467780000000003"/>
    <n v="146220800"/>
  </r>
  <r>
    <x v="2746"/>
    <n v="11.328125"/>
    <n v="11.882813000000001"/>
    <n v="11.203125"/>
    <x v="1325"/>
    <n v="7.4814749999999997"/>
    <n v="114592000"/>
  </r>
  <r>
    <x v="2747"/>
    <n v="11.890625"/>
    <n v="12.3125"/>
    <n v="11.828125"/>
    <x v="1326"/>
    <n v="7.6685140000000001"/>
    <n v="129236800"/>
  </r>
  <r>
    <x v="2748"/>
    <n v="12.265625"/>
    <n v="12.46875"/>
    <n v="11.8125"/>
    <x v="1327"/>
    <n v="7.461786"/>
    <n v="105048000"/>
  </r>
  <r>
    <x v="2749"/>
    <n v="11.890625"/>
    <n v="12.21875"/>
    <n v="11.796875"/>
    <x v="1328"/>
    <n v="7.555307"/>
    <n v="89817600"/>
  </r>
  <r>
    <x v="2750"/>
    <n v="12.0625"/>
    <n v="12.173828"/>
    <n v="11.9375"/>
    <x v="1329"/>
    <n v="7.5700690000000002"/>
    <n v="53263200"/>
  </r>
  <r>
    <x v="2751"/>
    <n v="12.296875"/>
    <n v="12.34375"/>
    <n v="11.84375"/>
    <x v="1330"/>
    <n v="7.5306949999999997"/>
    <n v="64656800"/>
  </r>
  <r>
    <x v="2752"/>
    <n v="12.09375"/>
    <n v="12.171875"/>
    <n v="11.96875"/>
    <x v="1331"/>
    <n v="7.6586660000000002"/>
    <n v="48933600"/>
  </r>
  <r>
    <x v="2753"/>
    <n v="12.28125"/>
    <n v="12.65625"/>
    <n v="12.25"/>
    <x v="1332"/>
    <n v="7.963832"/>
    <n v="79937600"/>
  </r>
  <r>
    <x v="2754"/>
    <n v="12.734375"/>
    <n v="12.90625"/>
    <n v="12.609375"/>
    <x v="1333"/>
    <n v="8.0327400000000004"/>
    <n v="86516000"/>
  </r>
  <r>
    <x v="2755"/>
    <n v="12.828125"/>
    <n v="12.923828"/>
    <n v="12.640625"/>
    <x v="1334"/>
    <n v="8.0622720000000001"/>
    <n v="60804800"/>
  </r>
  <r>
    <x v="2756"/>
    <n v="12.796875"/>
    <n v="12.90625"/>
    <n v="12.5625"/>
    <x v="1335"/>
    <n v="8.12134"/>
    <n v="56464000"/>
  </r>
  <r>
    <x v="2757"/>
    <n v="12.890625"/>
    <n v="12.9375"/>
    <n v="12.109375"/>
    <x v="1336"/>
    <n v="7.7472640000000004"/>
    <n v="110099200"/>
  </r>
  <r>
    <x v="2758"/>
    <n v="12.28125"/>
    <n v="12.296875"/>
    <n v="12"/>
    <x v="1337"/>
    <n v="7.6488240000000003"/>
    <n v="102122400"/>
  </r>
  <r>
    <x v="2759"/>
    <n v="12.296875"/>
    <n v="12.5625"/>
    <n v="12.1875"/>
    <x v="1338"/>
    <n v="7.9047710000000002"/>
    <n v="62448000"/>
  </r>
  <r>
    <x v="2760"/>
    <n v="12.59375"/>
    <n v="12.6875"/>
    <n v="12.203125"/>
    <x v="1339"/>
    <n v="7.6980469999999999"/>
    <n v="66804800"/>
  </r>
  <r>
    <x v="2761"/>
    <n v="12.28125"/>
    <n v="12.328125"/>
    <n v="11.890625"/>
    <x v="1340"/>
    <n v="7.7571070000000004"/>
    <n v="88834400"/>
  </r>
  <r>
    <x v="2762"/>
    <n v="12.296875"/>
    <n v="12.5"/>
    <n v="12.1875"/>
    <x v="1341"/>
    <n v="7.8653909999999998"/>
    <n v="72001600"/>
  </r>
  <r>
    <x v="2763"/>
    <n v="12.5625"/>
    <n v="12.640625"/>
    <n v="12.421875"/>
    <x v="1342"/>
    <n v="7.8752370000000003"/>
    <n v="58292000"/>
  </r>
  <r>
    <x v="2764"/>
    <n v="12.421875"/>
    <n v="12.5625"/>
    <n v="12.203125"/>
    <x v="1343"/>
    <n v="7.7078850000000001"/>
    <n v="57395200"/>
  </r>
  <r>
    <x v="2765"/>
    <n v="12.203125"/>
    <n v="12.234375"/>
    <n v="12.03125"/>
    <x v="1326"/>
    <n v="7.6685140000000001"/>
    <n v="52545600"/>
  </r>
  <r>
    <x v="2766"/>
    <n v="12.171875"/>
    <n v="12.265625"/>
    <n v="12.0625"/>
    <x v="1344"/>
    <n v="7.6783570000000001"/>
    <n v="56383200"/>
  </r>
  <r>
    <x v="2767"/>
    <n v="12.109375"/>
    <n v="12.1875"/>
    <n v="11.890625"/>
    <x v="1345"/>
    <n v="7.5011659999999996"/>
    <n v="75395200"/>
  </r>
  <r>
    <x v="2768"/>
    <n v="11.859375"/>
    <n v="11.921875"/>
    <n v="11.75"/>
    <x v="1325"/>
    <n v="7.4814749999999997"/>
    <n v="61131200"/>
  </r>
  <r>
    <x v="2769"/>
    <n v="11.78125"/>
    <n v="12.53125"/>
    <n v="11.75"/>
    <x v="1346"/>
    <n v="7.8850790000000002"/>
    <n v="68599200"/>
  </r>
  <r>
    <x v="2770"/>
    <n v="12.5"/>
    <n v="12.626953"/>
    <n v="12.359375"/>
    <x v="1347"/>
    <n v="7.8358610000000004"/>
    <n v="63941600"/>
  </r>
  <r>
    <x v="2771"/>
    <n v="12.4375"/>
    <n v="12.546875"/>
    <n v="12.296875"/>
    <x v="1348"/>
    <n v="7.8949259999999999"/>
    <n v="48849600"/>
  </r>
  <r>
    <x v="2772"/>
    <n v="12.53125"/>
    <n v="12.53125"/>
    <n v="12"/>
    <x v="1329"/>
    <n v="7.5700690000000002"/>
    <n v="56628800"/>
  </r>
  <r>
    <x v="2773"/>
    <n v="12.015625"/>
    <n v="12.296875"/>
    <n v="11.929688000000001"/>
    <x v="1344"/>
    <n v="7.6783570000000001"/>
    <n v="78412000"/>
  </r>
  <r>
    <x v="2774"/>
    <n v="12.125"/>
    <n v="12.515625"/>
    <n v="12.078125"/>
    <x v="1347"/>
    <n v="7.8358610000000004"/>
    <n v="53874400"/>
  </r>
  <r>
    <x v="2775"/>
    <n v="12.40625"/>
    <n v="12.515625"/>
    <n v="12.328125"/>
    <x v="1349"/>
    <n v="7.8063310000000001"/>
    <n v="63920800"/>
  </r>
  <r>
    <x v="2776"/>
    <n v="12.4375"/>
    <n v="12.625"/>
    <n v="12.40625"/>
    <x v="1350"/>
    <n v="7.9441439999999997"/>
    <n v="46393600"/>
  </r>
  <r>
    <x v="2777"/>
    <n v="12.59375"/>
    <n v="12.609375"/>
    <n v="12.216797"/>
    <x v="1339"/>
    <n v="7.6980469999999999"/>
    <n v="57018400"/>
  </r>
  <r>
    <x v="2778"/>
    <n v="12.296875"/>
    <n v="12.4375"/>
    <n v="12.0625"/>
    <x v="1351"/>
    <n v="7.6192909999999996"/>
    <n v="46032000"/>
  </r>
  <r>
    <x v="2779"/>
    <n v="12.140625"/>
    <n v="12.515625"/>
    <n v="11.992188000000001"/>
    <x v="1342"/>
    <n v="7.8752370000000003"/>
    <n v="45997600"/>
  </r>
  <r>
    <x v="2780"/>
    <n v="12.453125"/>
    <n v="12.570313000000001"/>
    <n v="12.296875"/>
    <x v="1336"/>
    <n v="7.7472640000000004"/>
    <n v="47577600"/>
  </r>
  <r>
    <x v="2781"/>
    <n v="12.21875"/>
    <n v="12.4375"/>
    <n v="12.21875"/>
    <x v="1352"/>
    <n v="7.776796"/>
    <n v="43234400"/>
  </r>
  <r>
    <x v="2782"/>
    <n v="12.28125"/>
    <n v="12.515625"/>
    <n v="12.25"/>
    <x v="1353"/>
    <n v="7.8457039999999996"/>
    <n v="45505600"/>
  </r>
  <r>
    <x v="2783"/>
    <n v="12.46875"/>
    <n v="12.53125"/>
    <n v="12.359375"/>
    <x v="1354"/>
    <n v="7.7964849999999997"/>
    <n v="61327200"/>
  </r>
  <r>
    <x v="2784"/>
    <n v="12.3125"/>
    <n v="12.59375"/>
    <n v="12.25"/>
    <x v="1355"/>
    <n v="7.9146109999999998"/>
    <n v="83958400"/>
  </r>
  <r>
    <x v="2785"/>
    <n v="12.578125"/>
    <n v="12.601563000000001"/>
    <n v="12.359375"/>
    <x v="1353"/>
    <n v="7.8457039999999996"/>
    <n v="59012000"/>
  </r>
  <r>
    <x v="2786"/>
    <n v="12.21875"/>
    <n v="12.28125"/>
    <n v="11.867188000000001"/>
    <x v="1351"/>
    <n v="7.6192909999999996"/>
    <n v="111560000"/>
  </r>
  <r>
    <x v="2787"/>
    <n v="12.078125"/>
    <n v="12.21875"/>
    <n v="11.921875"/>
    <x v="1356"/>
    <n v="7.5602260000000001"/>
    <n v="81410400"/>
  </r>
  <r>
    <x v="2788"/>
    <n v="12.0625"/>
    <n v="12.140625"/>
    <n v="11.609375"/>
    <x v="1357"/>
    <n v="7.4027250000000002"/>
    <n v="85829600"/>
  </r>
  <r>
    <x v="2789"/>
    <n v="11.640625"/>
    <n v="11.6875"/>
    <n v="10.953125"/>
    <x v="1358"/>
    <n v="7.0975570000000001"/>
    <n v="186269600"/>
  </r>
  <r>
    <x v="2790"/>
    <n v="11.328125"/>
    <n v="11.421875"/>
    <n v="11.109375"/>
    <x v="1359"/>
    <n v="7.1123209999999997"/>
    <n v="89701600"/>
  </r>
  <r>
    <x v="2791"/>
    <n v="11.34375"/>
    <n v="11.828125"/>
    <n v="11.328125"/>
    <x v="1360"/>
    <n v="7.4224139999999998"/>
    <n v="81270400"/>
  </r>
  <r>
    <x v="2792"/>
    <n v="11.890625"/>
    <n v="12.015625"/>
    <n v="11.375"/>
    <x v="1361"/>
    <n v="7.3830340000000003"/>
    <n v="93919200"/>
  </r>
  <r>
    <x v="2793"/>
    <n v="11.640625"/>
    <n v="11.8125"/>
    <n v="11.40625"/>
    <x v="1362"/>
    <n v="7.2206070000000002"/>
    <n v="93825600"/>
  </r>
  <r>
    <x v="2794"/>
    <n v="11.265625"/>
    <n v="11.71875"/>
    <n v="11.21875"/>
    <x v="1363"/>
    <n v="7.3436599999999999"/>
    <n v="86680800"/>
  </r>
  <r>
    <x v="2795"/>
    <n v="11.609375"/>
    <n v="11.703125"/>
    <n v="11.375"/>
    <x v="1364"/>
    <n v="7.2452170000000002"/>
    <n v="63331200"/>
  </r>
  <r>
    <x v="2796"/>
    <n v="11.375"/>
    <n v="11.921875"/>
    <n v="11.328125"/>
    <x v="1365"/>
    <n v="7.49132"/>
    <n v="92252800"/>
  </r>
  <r>
    <x v="2797"/>
    <n v="11.71875"/>
    <n v="12.09375"/>
    <n v="11.71875"/>
    <x v="1366"/>
    <n v="7.4174910000000001"/>
    <n v="94964000"/>
  </r>
  <r>
    <x v="2798"/>
    <n v="11.953125"/>
    <n v="12.203125"/>
    <n v="11.875"/>
    <x v="1367"/>
    <n v="7.5503869999999997"/>
    <n v="76511200"/>
  </r>
  <r>
    <x v="2799"/>
    <n v="12.078125"/>
    <n v="12.28125"/>
    <n v="11.9375"/>
    <x v="1368"/>
    <n v="7.737419"/>
    <n v="53339200"/>
  </r>
  <r>
    <x v="2800"/>
    <n v="12.390625"/>
    <n v="12.40625"/>
    <n v="12.21875"/>
    <x v="1369"/>
    <n v="7.7177340000000001"/>
    <n v="73762400"/>
  </r>
  <r>
    <x v="2801"/>
    <n v="12.21875"/>
    <n v="12.21875"/>
    <n v="11.9375"/>
    <x v="1351"/>
    <n v="7.6192909999999996"/>
    <n v="67913600"/>
  </r>
  <r>
    <x v="2802"/>
    <n v="11.9375"/>
    <n v="12.15625"/>
    <n v="11.867188000000001"/>
    <x v="1325"/>
    <n v="7.4814749999999997"/>
    <n v="60033600"/>
  </r>
  <r>
    <x v="2803"/>
    <n v="11.84375"/>
    <n v="12.171875"/>
    <n v="11.671875"/>
    <x v="1326"/>
    <n v="7.6685140000000001"/>
    <n v="59107200"/>
  </r>
  <r>
    <x v="2804"/>
    <n v="12.234375"/>
    <n v="12.375"/>
    <n v="11.984375"/>
    <x v="1337"/>
    <n v="7.6488240000000003"/>
    <n v="84440000"/>
  </r>
  <r>
    <x v="2805"/>
    <n v="12.078125"/>
    <n v="12.3125"/>
    <n v="12.03125"/>
    <x v="1368"/>
    <n v="7.737419"/>
    <n v="42710400"/>
  </r>
  <r>
    <x v="2806"/>
    <n v="12.3125"/>
    <n v="12.5"/>
    <n v="12.1875"/>
    <x v="1370"/>
    <n v="7.7275749999999999"/>
    <n v="71720800"/>
  </r>
  <r>
    <x v="2807"/>
    <n v="13"/>
    <n v="13.453125"/>
    <n v="12.875"/>
    <x v="1371"/>
    <n v="8.4757219999999993"/>
    <n v="231764000"/>
  </r>
  <r>
    <x v="2808"/>
    <n v="13.375"/>
    <n v="13.984375"/>
    <n v="13.265625"/>
    <x v="1371"/>
    <n v="8.4757219999999993"/>
    <n v="155695200"/>
  </r>
  <r>
    <x v="2809"/>
    <n v="13.453125"/>
    <n v="13.851563000000001"/>
    <n v="13.4375"/>
    <x v="1372"/>
    <n v="8.7119789999999995"/>
    <n v="82300000"/>
  </r>
  <r>
    <x v="2810"/>
    <n v="13.828125"/>
    <n v="14.46875"/>
    <n v="13.796875"/>
    <x v="1373"/>
    <n v="9.0663640000000001"/>
    <n v="102814400"/>
  </r>
  <r>
    <x v="2811"/>
    <n v="14.578125"/>
    <n v="14.734375"/>
    <n v="14.09375"/>
    <x v="1374"/>
    <n v="8.9876120000000004"/>
    <n v="118163200"/>
  </r>
  <r>
    <x v="2812"/>
    <n v="14.1875"/>
    <n v="14.421875"/>
    <n v="14.15625"/>
    <x v="1375"/>
    <n v="8.9482389999999992"/>
    <n v="58566400"/>
  </r>
  <r>
    <x v="2813"/>
    <n v="14.21875"/>
    <n v="14.382813000000001"/>
    <n v="13.953125"/>
    <x v="1376"/>
    <n v="9.0466789999999992"/>
    <n v="67224000"/>
  </r>
  <r>
    <x v="2814"/>
    <n v="14.671875"/>
    <n v="14.890625"/>
    <n v="14.5625"/>
    <x v="1377"/>
    <n v="9.3715309999999992"/>
    <n v="73953600"/>
  </r>
  <r>
    <x v="2815"/>
    <n v="14.828125"/>
    <n v="15.328125"/>
    <n v="14.796875"/>
    <x v="1378"/>
    <n v="9.5684120000000004"/>
    <n v="90204000"/>
  </r>
  <r>
    <x v="2816"/>
    <n v="15.25"/>
    <n v="15.40625"/>
    <n v="14.90625"/>
    <x v="1379"/>
    <n v="9.5290379999999999"/>
    <n v="72325600"/>
  </r>
  <r>
    <x v="2817"/>
    <n v="15.25"/>
    <n v="15.4375"/>
    <n v="14.867188000000001"/>
    <x v="1380"/>
    <n v="9.5093460000000007"/>
    <n v="96192000"/>
  </r>
  <r>
    <x v="2818"/>
    <n v="14.953125"/>
    <n v="15.09375"/>
    <n v="14.4375"/>
    <x v="1381"/>
    <n v="9.4650499999999997"/>
    <n v="111063200"/>
  </r>
  <r>
    <x v="2819"/>
    <n v="14.921875"/>
    <n v="14.96875"/>
    <n v="14.546875"/>
    <x v="1382"/>
    <n v="9.2386389999999992"/>
    <n v="74770400"/>
  </r>
  <r>
    <x v="2820"/>
    <n v="14.546875"/>
    <n v="14.875"/>
    <n v="14.390625"/>
    <x v="1383"/>
    <n v="9.0958939999999995"/>
    <n v="70532800"/>
  </r>
  <r>
    <x v="2821"/>
    <n v="14.40625"/>
    <n v="14.765625"/>
    <n v="14.390625"/>
    <x v="1384"/>
    <n v="9.1648080000000007"/>
    <n v="53834400"/>
  </r>
  <r>
    <x v="2822"/>
    <n v="14.75"/>
    <n v="14.8125"/>
    <n v="14.46875"/>
    <x v="1385"/>
    <n v="9.1943370000000009"/>
    <n v="58392000"/>
  </r>
  <r>
    <x v="2823"/>
    <n v="14.6875"/>
    <n v="14.8125"/>
    <n v="14.625"/>
    <x v="1386"/>
    <n v="9.3026230000000005"/>
    <n v="42976000"/>
  </r>
  <r>
    <x v="2824"/>
    <n v="14.796875"/>
    <n v="14.90625"/>
    <n v="14.609375"/>
    <x v="1387"/>
    <n v="9.2730899999999998"/>
    <n v="49813600"/>
  </r>
  <r>
    <x v="2825"/>
    <n v="14.796875"/>
    <n v="14.828125"/>
    <n v="14.453125"/>
    <x v="1388"/>
    <n v="9.1254299999999997"/>
    <n v="60744800"/>
  </r>
  <r>
    <x v="2826"/>
    <n v="14.5"/>
    <n v="14.734375"/>
    <n v="14.484375"/>
    <x v="1389"/>
    <n v="9.2238720000000001"/>
    <n v="41861600"/>
  </r>
  <r>
    <x v="2827"/>
    <n v="14.546875"/>
    <n v="14.625"/>
    <n v="14.359375"/>
    <x v="1390"/>
    <n v="9.0909770000000005"/>
    <n v="59913600"/>
  </r>
  <r>
    <x v="2828"/>
    <n v="14.515625"/>
    <n v="14.640625"/>
    <n v="14.390625"/>
    <x v="1373"/>
    <n v="9.0663640000000001"/>
    <n v="45632000"/>
  </r>
  <r>
    <x v="2829"/>
    <n v="14.484375"/>
    <n v="14.90625"/>
    <n v="14.40625"/>
    <x v="1391"/>
    <n v="9.3813739999999992"/>
    <n v="64876800"/>
  </r>
  <r>
    <x v="2830"/>
    <n v="15.078125"/>
    <n v="15.367188000000001"/>
    <n v="14.96875"/>
    <x v="1392"/>
    <n v="9.4798150000000003"/>
    <n v="76620000"/>
  </r>
  <r>
    <x v="2831"/>
    <n v="15.125"/>
    <n v="15.203125"/>
    <n v="14.96875"/>
    <x v="1393"/>
    <n v="9.4995030000000007"/>
    <n v="33655200"/>
  </r>
  <r>
    <x v="2832"/>
    <n v="15.171875"/>
    <n v="15.375"/>
    <n v="15.109375"/>
    <x v="1394"/>
    <n v="9.6766950000000005"/>
    <n v="28904800"/>
  </r>
  <r>
    <x v="2833"/>
    <n v="15.34375"/>
    <n v="15.921875"/>
    <n v="15.296875"/>
    <x v="1395"/>
    <n v="9.972016"/>
    <n v="69036000"/>
  </r>
  <r>
    <x v="2834"/>
    <n v="15.90625"/>
    <n v="15.90625"/>
    <n v="15.609375"/>
    <x v="1396"/>
    <n v="9.9129509999999996"/>
    <n v="52241600"/>
  </r>
  <r>
    <x v="2835"/>
    <n v="15.90625"/>
    <n v="16.132812999999999"/>
    <n v="15.625"/>
    <x v="1396"/>
    <n v="9.9129509999999996"/>
    <n v="51111200"/>
  </r>
  <r>
    <x v="2836"/>
    <n v="14.6875"/>
    <n v="15.703125"/>
    <n v="14.6875"/>
    <x v="1397"/>
    <n v="9.7652889999999992"/>
    <n v="83337600"/>
  </r>
  <r>
    <x v="2837"/>
    <n v="15.625"/>
    <n v="15.6875"/>
    <n v="15.390625"/>
    <x v="1398"/>
    <n v="9.7948269999999997"/>
    <n v="38939200"/>
  </r>
  <r>
    <x v="2838"/>
    <n v="15.421875"/>
    <n v="15.4375"/>
    <n v="15.078125"/>
    <x v="1380"/>
    <n v="9.5093460000000007"/>
    <n v="41995200"/>
  </r>
  <r>
    <x v="2839"/>
    <n v="15.078125"/>
    <n v="15.28125"/>
    <n v="14.78125"/>
    <x v="1399"/>
    <n v="9.3862959999999998"/>
    <n v="54639200"/>
  </r>
  <r>
    <x v="2840"/>
    <n v="15.033203"/>
    <n v="15.1875"/>
    <n v="14.9375"/>
    <x v="1400"/>
    <n v="9.4945830000000004"/>
    <n v="35892000"/>
  </r>
  <r>
    <x v="2841"/>
    <n v="15.171875"/>
    <n v="15.539063000000001"/>
    <n v="15.125"/>
    <x v="1401"/>
    <n v="9.7702139999999993"/>
    <n v="35964000"/>
  </r>
  <r>
    <x v="2842"/>
    <n v="15.609375"/>
    <n v="15.765625"/>
    <n v="15.3125"/>
    <x v="1402"/>
    <n v="9.8538890000000006"/>
    <n v="48200000"/>
  </r>
  <r>
    <x v="2843"/>
    <n v="15.640625"/>
    <n v="15.882813000000001"/>
    <n v="15.46875"/>
    <x v="1403"/>
    <n v="9.8292769999999994"/>
    <n v="53135200"/>
  </r>
  <r>
    <x v="2844"/>
    <n v="15.601563000000001"/>
    <n v="15.921875"/>
    <n v="15.445313000000001"/>
    <x v="1404"/>
    <n v="10.001547"/>
    <n v="49056800"/>
  </r>
  <r>
    <x v="2845"/>
    <n v="15.84375"/>
    <n v="16.015625"/>
    <n v="15.671875"/>
    <x v="1404"/>
    <n v="10.001547"/>
    <n v="44614400"/>
  </r>
  <r>
    <x v="2846"/>
    <n v="15.84375"/>
    <n v="16.257812999999999"/>
    <n v="15.820313000000001"/>
    <x v="1405"/>
    <n v="10.208275"/>
    <n v="50116000"/>
  </r>
  <r>
    <x v="2847"/>
    <n v="16.203125"/>
    <n v="16.421875"/>
    <n v="16.109375"/>
    <x v="1406"/>
    <n v="10.346090999999999"/>
    <n v="40612800"/>
  </r>
  <r>
    <x v="2848"/>
    <n v="16.4375"/>
    <n v="16.867187999999999"/>
    <n v="16.359375"/>
    <x v="1407"/>
    <n v="10.567587"/>
    <n v="53191200"/>
  </r>
  <r>
    <x v="2849"/>
    <n v="16.65625"/>
    <n v="16.6875"/>
    <n v="16.257812999999999"/>
    <x v="1408"/>
    <n v="10.252572000000001"/>
    <n v="55657600"/>
  </r>
  <r>
    <x v="2850"/>
    <n v="16.046875"/>
    <n v="16.34375"/>
    <n v="16"/>
    <x v="1409"/>
    <n v="10.183667"/>
    <n v="65519200"/>
  </r>
  <r>
    <x v="2851"/>
    <n v="16.171875"/>
    <n v="16.421875"/>
    <n v="16.0625"/>
    <x v="1410"/>
    <n v="10.227964"/>
    <n v="64240000"/>
  </r>
  <r>
    <x v="2852"/>
    <n v="16.234375"/>
    <n v="16.4375"/>
    <n v="16"/>
    <x v="1411"/>
    <n v="10.085222999999999"/>
    <n v="35724800"/>
  </r>
  <r>
    <x v="2853"/>
    <n v="16.1875"/>
    <n v="16.515625"/>
    <n v="16.046875"/>
    <x v="1412"/>
    <n v="10.400235"/>
    <n v="39319200"/>
  </r>
  <r>
    <x v="2854"/>
    <n v="16.609375"/>
    <n v="16.65625"/>
    <n v="16.226562999999999"/>
    <x v="1413"/>
    <n v="10.272265000000001"/>
    <n v="49576000"/>
  </r>
  <r>
    <x v="2855"/>
    <n v="16.265625"/>
    <n v="16.351562999999999"/>
    <n v="15.984375"/>
    <x v="1414"/>
    <n v="10.099989000000001"/>
    <n v="37312000"/>
  </r>
  <r>
    <x v="2856"/>
    <n v="16.140625"/>
    <n v="16.25"/>
    <n v="15.90625"/>
    <x v="1415"/>
    <n v="10.040926000000001"/>
    <n v="38198400"/>
  </r>
  <r>
    <x v="2857"/>
    <n v="15.984375"/>
    <n v="16.09375"/>
    <n v="15.773438000000001"/>
    <x v="1416"/>
    <n v="9.9523329999999994"/>
    <n v="38286400"/>
  </r>
  <r>
    <x v="2858"/>
    <n v="15.804688000000001"/>
    <n v="15.859375"/>
    <n v="15.40625"/>
    <x v="1417"/>
    <n v="9.8391210000000004"/>
    <n v="59377600"/>
  </r>
  <r>
    <x v="2859"/>
    <n v="15.703125"/>
    <n v="16.0625"/>
    <n v="15.507813000000001"/>
    <x v="1418"/>
    <n v="10.109835"/>
    <n v="53237600"/>
  </r>
  <r>
    <x v="2860"/>
    <n v="16.257812999999999"/>
    <n v="16.257812999999999"/>
    <n v="16.0625"/>
    <x v="1419"/>
    <n v="10.203355"/>
    <n v="28764000"/>
  </r>
  <r>
    <x v="2861"/>
    <n v="16.328125"/>
    <n v="16.46875"/>
    <n v="16.171875"/>
    <x v="1420"/>
    <n v="10.19843"/>
    <n v="39320000"/>
  </r>
  <r>
    <x v="2862"/>
    <n v="16.171875"/>
    <n v="16.414062999999999"/>
    <n v="16.117187999999999"/>
    <x v="1421"/>
    <n v="10.336245999999999"/>
    <n v="36007200"/>
  </r>
  <r>
    <x v="2863"/>
    <n v="16.5625"/>
    <n v="16.578125"/>
    <n v="16.1875"/>
    <x v="1422"/>
    <n v="10.296872"/>
    <n v="48266400"/>
  </r>
  <r>
    <x v="2864"/>
    <n v="16.3125"/>
    <n v="16.40625"/>
    <n v="16.109375"/>
    <x v="1410"/>
    <n v="10.227964"/>
    <n v="43780800"/>
  </r>
  <r>
    <x v="2865"/>
    <n v="16.28125"/>
    <n v="16.382812999999999"/>
    <n v="16.054687999999999"/>
    <x v="1423"/>
    <n v="10.218118"/>
    <n v="38094400"/>
  </r>
  <r>
    <x v="2866"/>
    <n v="16.351562999999999"/>
    <n v="17"/>
    <n v="16.3125"/>
    <x v="1424"/>
    <n v="10.705397"/>
    <n v="57424000"/>
  </r>
  <r>
    <x v="2867"/>
    <n v="17.257812999999999"/>
    <n v="17.40625"/>
    <n v="17.078125"/>
    <x v="1425"/>
    <n v="10.904738"/>
    <n v="75503200"/>
  </r>
  <r>
    <x v="2868"/>
    <n v="17.796875"/>
    <n v="18.6875"/>
    <n v="17.5"/>
    <x v="1426"/>
    <n v="11.689805"/>
    <n v="111217600"/>
  </r>
  <r>
    <x v="2869"/>
    <n v="18.8125"/>
    <n v="18.84375"/>
    <n v="18.3125"/>
    <x v="1427"/>
    <n v="11.773478000000001"/>
    <n v="131668000"/>
  </r>
  <r>
    <x v="2870"/>
    <n v="18.125"/>
    <n v="18.421875"/>
    <n v="17.5"/>
    <x v="1428"/>
    <n v="11.064709000000001"/>
    <n v="158927200"/>
  </r>
  <r>
    <x v="2871"/>
    <n v="17.609375"/>
    <n v="17.625"/>
    <n v="16.71875"/>
    <x v="1424"/>
    <n v="10.705397"/>
    <n v="127223200"/>
  </r>
  <r>
    <x v="2872"/>
    <n v="17.109375"/>
    <n v="18.101562999999999"/>
    <n v="17.09375"/>
    <x v="1429"/>
    <n v="11.350180999999999"/>
    <n v="101384000"/>
  </r>
  <r>
    <x v="2873"/>
    <n v="18.15625"/>
    <n v="18.359375"/>
    <n v="17.625"/>
    <x v="1430"/>
    <n v="11.138536999999999"/>
    <n v="95556000"/>
  </r>
  <r>
    <x v="2874"/>
    <n v="17.296875"/>
    <n v="17.546875"/>
    <n v="16.953125"/>
    <x v="1431"/>
    <n v="10.867827"/>
    <n v="141855200"/>
  </r>
  <r>
    <x v="2875"/>
    <n v="17.3125"/>
    <n v="17.78125"/>
    <n v="17.15625"/>
    <x v="1432"/>
    <n v="10.907206"/>
    <n v="90308800"/>
  </r>
  <r>
    <x v="2876"/>
    <n v="17.40625"/>
    <n v="17.421875"/>
    <n v="16.96875"/>
    <x v="1433"/>
    <n v="10.789075"/>
    <n v="56404000"/>
  </r>
  <r>
    <x v="2877"/>
    <n v="17.09375"/>
    <n v="17.507812999999999"/>
    <n v="17.015625"/>
    <x v="1434"/>
    <n v="11.020409000000001"/>
    <n v="79061600"/>
  </r>
  <r>
    <x v="2878"/>
    <n v="17.59375"/>
    <n v="17.75"/>
    <n v="17.453125"/>
    <x v="1435"/>
    <n v="11.113928"/>
    <n v="78324000"/>
  </r>
  <r>
    <x v="2879"/>
    <n v="17.75"/>
    <n v="17.765625"/>
    <n v="17.609375"/>
    <x v="1436"/>
    <n v="11.133614"/>
    <n v="42240800"/>
  </r>
  <r>
    <x v="2880"/>
    <n v="17.671875"/>
    <n v="17.726562999999999"/>
    <n v="17.398437999999999"/>
    <x v="1437"/>
    <n v="11.07455"/>
    <n v="58912800"/>
  </r>
  <r>
    <x v="2881"/>
    <n v="17.53125"/>
    <n v="17.75"/>
    <n v="17.429687999999999"/>
    <x v="1438"/>
    <n v="11.14838"/>
    <n v="46312800"/>
  </r>
  <r>
    <x v="2882"/>
    <n v="17.78125"/>
    <n v="18.046875"/>
    <n v="17.75"/>
    <x v="1439"/>
    <n v="11.286197"/>
    <n v="59333600"/>
  </r>
  <r>
    <x v="2883"/>
    <n v="17.914062999999999"/>
    <n v="18.078125"/>
    <n v="17.78125"/>
    <x v="1440"/>
    <n v="11.296044"/>
    <n v="43410400"/>
  </r>
  <r>
    <x v="2884"/>
    <n v="18.039062999999999"/>
    <n v="18.046875"/>
    <n v="17.75"/>
    <x v="1441"/>
    <n v="11.335418000000001"/>
    <n v="43947200"/>
  </r>
  <r>
    <x v="2885"/>
    <n v="17.851562999999999"/>
    <n v="17.890625"/>
    <n v="17.5"/>
    <x v="1442"/>
    <n v="11.025333"/>
    <n v="66815200"/>
  </r>
  <r>
    <x v="2886"/>
    <n v="17.5"/>
    <n v="17.53125"/>
    <n v="17.046875"/>
    <x v="1443"/>
    <n v="10.887511"/>
    <n v="72696000"/>
  </r>
  <r>
    <x v="2887"/>
    <n v="17.421875"/>
    <n v="17.46875"/>
    <n v="16.976562999999999"/>
    <x v="1444"/>
    <n v="10.710319999999999"/>
    <n v="60887200"/>
  </r>
  <r>
    <x v="2888"/>
    <n v="17.265625"/>
    <n v="17.28125"/>
    <n v="16.84375"/>
    <x v="1445"/>
    <n v="10.715242999999999"/>
    <n v="66731200"/>
  </r>
  <r>
    <x v="2889"/>
    <n v="17"/>
    <n v="17.09375"/>
    <n v="16.765625"/>
    <x v="1446"/>
    <n v="10.730005"/>
    <n v="45900800"/>
  </r>
  <r>
    <x v="2890"/>
    <n v="16.9375"/>
    <n v="17"/>
    <n v="16.59375"/>
    <x v="1447"/>
    <n v="10.464223"/>
    <n v="51078400"/>
  </r>
  <r>
    <x v="2891"/>
    <n v="16.625"/>
    <n v="16.734375"/>
    <n v="16.375"/>
    <x v="1448"/>
    <n v="10.542973999999999"/>
    <n v="69969600"/>
  </r>
  <r>
    <x v="2892"/>
    <n v="16.84375"/>
    <n v="17.375"/>
    <n v="16.828125"/>
    <x v="1449"/>
    <n v="10.931811"/>
    <n v="91013600"/>
  </r>
  <r>
    <x v="2893"/>
    <n v="17.375"/>
    <n v="17.585937999999999"/>
    <n v="17.125"/>
    <x v="1450"/>
    <n v="11.06963"/>
    <n v="51433600"/>
  </r>
  <r>
    <x v="2894"/>
    <n v="17.703125"/>
    <n v="17.796875"/>
    <n v="17.1875"/>
    <x v="1451"/>
    <n v="10.857984"/>
    <n v="64412000"/>
  </r>
  <r>
    <x v="2895"/>
    <n v="16.90625"/>
    <n v="17.1875"/>
    <n v="16.765625"/>
    <x v="1452"/>
    <n v="10.808759999999999"/>
    <n v="72161600"/>
  </r>
  <r>
    <x v="2896"/>
    <n v="17.234375"/>
    <n v="17.375"/>
    <n v="16.953125"/>
    <x v="1453"/>
    <n v="10.749696999999999"/>
    <n v="38856800"/>
  </r>
  <r>
    <x v="2897"/>
    <n v="17"/>
    <n v="17.109375"/>
    <n v="16.84375"/>
    <x v="1454"/>
    <n v="10.631568"/>
    <n v="34327200"/>
  </r>
  <r>
    <x v="2898"/>
    <n v="16.90625"/>
    <n v="16.914062999999999"/>
    <n v="16.625"/>
    <x v="1455"/>
    <n v="10.597115000000001"/>
    <n v="49371200"/>
  </r>
  <r>
    <x v="2899"/>
    <n v="16.6875"/>
    <n v="16.71875"/>
    <n v="16.5"/>
    <x v="1412"/>
    <n v="10.400235"/>
    <n v="43641600"/>
  </r>
  <r>
    <x v="2900"/>
    <n v="16.507812999999999"/>
    <n v="16.734375"/>
    <n v="16.46875"/>
    <x v="1456"/>
    <n v="10.410079"/>
    <n v="37857600"/>
  </r>
  <r>
    <x v="2901"/>
    <n v="16.640625"/>
    <n v="17.1875"/>
    <n v="16.625"/>
    <x v="1457"/>
    <n v="10.803839999999999"/>
    <n v="50112800"/>
  </r>
  <r>
    <x v="2902"/>
    <n v="17.203125"/>
    <n v="17.359375"/>
    <n v="17.023437999999999"/>
    <x v="1458"/>
    <n v="10.754619"/>
    <n v="42872800"/>
  </r>
  <r>
    <x v="2903"/>
    <n v="17"/>
    <n v="17.3125"/>
    <n v="16.96875"/>
    <x v="1459"/>
    <n v="10.88259"/>
    <n v="44476000"/>
  </r>
  <r>
    <x v="2904"/>
    <n v="17.382812999999999"/>
    <n v="17.460937999999999"/>
    <n v="17.03125"/>
    <x v="1460"/>
    <n v="10.813684"/>
    <n v="48398400"/>
  </r>
  <r>
    <x v="2905"/>
    <n v="17.21875"/>
    <n v="17.476562999999999"/>
    <n v="17.21875"/>
    <x v="1461"/>
    <n v="10.971187"/>
    <n v="42416000"/>
  </r>
  <r>
    <x v="2906"/>
    <n v="17.40625"/>
    <n v="17.53125"/>
    <n v="17.296875"/>
    <x v="1462"/>
    <n v="10.985955000000001"/>
    <n v="39465600"/>
  </r>
  <r>
    <x v="2907"/>
    <n v="17.359375"/>
    <n v="17.390625"/>
    <n v="16.882812999999999"/>
    <x v="1463"/>
    <n v="10.641408999999999"/>
    <n v="53294400"/>
  </r>
  <r>
    <x v="2908"/>
    <n v="16.875"/>
    <n v="17.171875"/>
    <n v="16.609375"/>
    <x v="1464"/>
    <n v="10.774304000000001"/>
    <n v="61779200"/>
  </r>
  <r>
    <x v="2909"/>
    <n v="17.109375"/>
    <n v="17.296875"/>
    <n v="16.953125"/>
    <x v="1465"/>
    <n v="10.862902"/>
    <n v="48576000"/>
  </r>
  <r>
    <x v="2910"/>
    <n v="16.953125"/>
    <n v="17.15625"/>
    <n v="16.328125"/>
    <x v="1466"/>
    <n v="10.291947"/>
    <n v="129003200"/>
  </r>
  <r>
    <x v="2911"/>
    <n v="16.46875"/>
    <n v="17.125"/>
    <n v="16.375"/>
    <x v="1467"/>
    <n v="10.739850000000001"/>
    <n v="102538400"/>
  </r>
  <r>
    <x v="2912"/>
    <n v="17.078125"/>
    <n v="17.09375"/>
    <n v="16.578125"/>
    <x v="1468"/>
    <n v="10.488829000000001"/>
    <n v="61609600"/>
  </r>
  <r>
    <x v="2913"/>
    <n v="16.78125"/>
    <n v="16.890625"/>
    <n v="16.429687999999999"/>
    <x v="1469"/>
    <n v="10.415001"/>
    <n v="61077600"/>
  </r>
  <r>
    <x v="2914"/>
    <n v="16.53125"/>
    <n v="16.90625"/>
    <n v="16.5"/>
    <x v="1470"/>
    <n v="10.646335000000001"/>
    <n v="77435200"/>
  </r>
  <r>
    <x v="2915"/>
    <n v="16.875"/>
    <n v="16.984375"/>
    <n v="16.648437999999999"/>
    <x v="1471"/>
    <n v="10.498673"/>
    <n v="43251200"/>
  </r>
  <r>
    <x v="2916"/>
    <n v="16.695312999999999"/>
    <n v="16.9375"/>
    <n v="16.640625"/>
    <x v="1472"/>
    <n v="10.670947"/>
    <n v="39946400"/>
  </r>
  <r>
    <x v="2917"/>
    <n v="16.953125"/>
    <n v="17.007812999999999"/>
    <n v="16.515625"/>
    <x v="1473"/>
    <n v="10.429767999999999"/>
    <n v="60040000"/>
  </r>
  <r>
    <x v="2918"/>
    <n v="16.609375"/>
    <n v="16.765625"/>
    <n v="16.507812999999999"/>
    <x v="1474"/>
    <n v="10.454375000000001"/>
    <n v="39272000"/>
  </r>
  <r>
    <x v="2919"/>
    <n v="16.703125"/>
    <n v="16.71875"/>
    <n v="16.453125"/>
    <x v="1475"/>
    <n v="10.503594"/>
    <n v="36652000"/>
  </r>
  <r>
    <x v="2920"/>
    <n v="16.6875"/>
    <n v="16.84375"/>
    <n v="16.609375"/>
    <x v="1476"/>
    <n v="10.592193999999999"/>
    <n v="27505600"/>
  </r>
  <r>
    <x v="2921"/>
    <n v="16.804687999999999"/>
    <n v="16.96875"/>
    <n v="16.53125"/>
    <x v="1477"/>
    <n v="10.419919"/>
    <n v="43892800"/>
  </r>
  <r>
    <x v="2922"/>
    <n v="16.5625"/>
    <n v="16.8125"/>
    <n v="16.421875"/>
    <x v="1448"/>
    <n v="10.542973999999999"/>
    <n v="61466400"/>
  </r>
  <r>
    <x v="2923"/>
    <n v="16.71875"/>
    <n v="16.828125"/>
    <n v="16.59375"/>
    <x v="1468"/>
    <n v="10.488829000000001"/>
    <n v="28831200"/>
  </r>
  <r>
    <x v="2924"/>
    <n v="16.867187999999999"/>
    <n v="17.03125"/>
    <n v="16.671875"/>
    <x v="1478"/>
    <n v="10.626645999999999"/>
    <n v="60284800"/>
  </r>
  <r>
    <x v="2925"/>
    <n v="16.984375"/>
    <n v="17.03125"/>
    <n v="16.78125"/>
    <x v="1463"/>
    <n v="10.641408999999999"/>
    <n v="41776800"/>
  </r>
  <r>
    <x v="2926"/>
    <n v="16.875"/>
    <n v="17.210937999999999"/>
    <n v="16.828125"/>
    <x v="1458"/>
    <n v="10.754619"/>
    <n v="54548800"/>
  </r>
  <r>
    <x v="2927"/>
    <n v="17.078125"/>
    <n v="17.382812999999999"/>
    <n v="17.03125"/>
    <x v="1479"/>
    <n v="10.946581"/>
    <n v="71196800"/>
  </r>
  <r>
    <x v="2928"/>
    <n v="17.3125"/>
    <n v="17.453125"/>
    <n v="17.265625"/>
    <x v="1480"/>
    <n v="10.941656"/>
    <n v="34672800"/>
  </r>
  <r>
    <x v="2929"/>
    <n v="17.289062999999999"/>
    <n v="17.34375"/>
    <n v="17.03125"/>
    <x v="1453"/>
    <n v="10.749696999999999"/>
    <n v="24893600"/>
  </r>
  <r>
    <x v="2930"/>
    <n v="17.125"/>
    <n v="17.234375"/>
    <n v="17.070312999999999"/>
    <x v="1481"/>
    <n v="10.769384000000001"/>
    <n v="19051200"/>
  </r>
  <r>
    <x v="2931"/>
    <n v="17.140625"/>
    <n v="17.171875"/>
    <n v="16.921875"/>
    <x v="1482"/>
    <n v="10.764465"/>
    <n v="33361600"/>
  </r>
  <r>
    <x v="2932"/>
    <n v="16.96875"/>
    <n v="17"/>
    <n v="16.859375"/>
    <x v="1483"/>
    <n v="10.690632000000001"/>
    <n v="45003200"/>
  </r>
  <r>
    <x v="2933"/>
    <n v="17.015625"/>
    <n v="17.078125"/>
    <n v="16.53125"/>
    <x v="1484"/>
    <n v="10.545434"/>
    <n v="47327200"/>
  </r>
  <r>
    <x v="2934"/>
    <n v="16.640625"/>
    <n v="16.828125"/>
    <n v="16.296875"/>
    <x v="1469"/>
    <n v="10.415001"/>
    <n v="87720000"/>
  </r>
  <r>
    <x v="2935"/>
    <n v="16.625"/>
    <n v="16.90625"/>
    <n v="15.9375"/>
    <x v="1485"/>
    <n v="10.444535"/>
    <n v="154052800"/>
  </r>
  <r>
    <x v="2936"/>
    <n v="17.015625"/>
    <n v="17.404297"/>
    <n v="16.914062999999999"/>
    <x v="1432"/>
    <n v="10.907206"/>
    <n v="115682400"/>
  </r>
  <r>
    <x v="2937"/>
    <n v="17.296875"/>
    <n v="17.3125"/>
    <n v="16.921875"/>
    <x v="1486"/>
    <n v="10.685712000000001"/>
    <n v="55775200"/>
  </r>
  <r>
    <x v="2938"/>
    <n v="16.5"/>
    <n v="17.15625"/>
    <n v="16.5"/>
    <x v="1487"/>
    <n v="10.680787"/>
    <n v="66413600"/>
  </r>
  <r>
    <x v="2939"/>
    <n v="17.109375"/>
    <n v="17.15625"/>
    <n v="16.65625"/>
    <x v="1488"/>
    <n v="10.661101"/>
    <n v="70030400"/>
  </r>
  <r>
    <x v="2940"/>
    <n v="16.859375"/>
    <n v="17.03125"/>
    <n v="16.078125"/>
    <x v="1489"/>
    <n v="10.14921"/>
    <n v="96795200"/>
  </r>
  <r>
    <x v="2941"/>
    <n v="16.53125"/>
    <n v="16.875"/>
    <n v="15.4375"/>
    <x v="1475"/>
    <n v="10.503594"/>
    <n v="160057600"/>
  </r>
  <r>
    <x v="2942"/>
    <n v="16.71875"/>
    <n v="16.882812999999999"/>
    <n v="16.265625"/>
    <x v="1490"/>
    <n v="10.306715000000001"/>
    <n v="85532800"/>
  </r>
  <r>
    <x v="2943"/>
    <n v="16.1875"/>
    <n v="16.421875"/>
    <n v="16.0625"/>
    <x v="1491"/>
    <n v="10.129524"/>
    <n v="72097600"/>
  </r>
  <r>
    <x v="2944"/>
    <n v="16.375"/>
    <n v="16.4375"/>
    <n v="16.203125"/>
    <x v="1492"/>
    <n v="10.237806000000001"/>
    <n v="46808800"/>
  </r>
  <r>
    <x v="2945"/>
    <n v="16.453125"/>
    <n v="16.78125"/>
    <n v="16.414062999999999"/>
    <x v="1493"/>
    <n v="10.562662"/>
    <n v="67714400"/>
  </r>
  <r>
    <x v="2946"/>
    <n v="16.75"/>
    <n v="16.867187999999999"/>
    <n v="16.648437999999999"/>
    <x v="1494"/>
    <n v="10.572502999999999"/>
    <n v="49134400"/>
  </r>
  <r>
    <x v="2947"/>
    <n v="16.8125"/>
    <n v="16.828125"/>
    <n v="16.5625"/>
    <x v="1495"/>
    <n v="10.518364"/>
    <n v="42512800"/>
  </r>
  <r>
    <x v="2948"/>
    <n v="16.65625"/>
    <n v="16.6875"/>
    <n v="16.46875"/>
    <x v="1412"/>
    <n v="10.400235"/>
    <n v="40266400"/>
  </r>
  <r>
    <x v="2949"/>
    <n v="16.257812999999999"/>
    <n v="16.5"/>
    <n v="16.234375"/>
    <x v="1496"/>
    <n v="10.360856999999999"/>
    <n v="63628800"/>
  </r>
  <r>
    <x v="2950"/>
    <n v="16.453125"/>
    <n v="16.5625"/>
    <n v="16.21875"/>
    <x v="1408"/>
    <n v="10.252572000000001"/>
    <n v="36764800"/>
  </r>
  <r>
    <x v="2951"/>
    <n v="16.304687999999999"/>
    <n v="16.429687999999999"/>
    <n v="16.171875"/>
    <x v="1497"/>
    <n v="10.287027999999999"/>
    <n v="37013600"/>
  </r>
  <r>
    <x v="2952"/>
    <n v="16.265625"/>
    <n v="16.375"/>
    <n v="16.125"/>
    <x v="1498"/>
    <n v="10.173821999999999"/>
    <n v="45784000"/>
  </r>
  <r>
    <x v="2953"/>
    <n v="16.257812999999999"/>
    <n v="16.453125"/>
    <n v="16.148437999999999"/>
    <x v="1496"/>
    <n v="10.360856999999999"/>
    <n v="60094400"/>
  </r>
  <r>
    <x v="2954"/>
    <n v="16.453125"/>
    <n v="16.734375"/>
    <n v="16.421875"/>
    <x v="1471"/>
    <n v="10.498673"/>
    <n v="46663200"/>
  </r>
  <r>
    <x v="2955"/>
    <n v="16.8125"/>
    <n v="16.976562999999999"/>
    <n v="16.679687999999999"/>
    <x v="1499"/>
    <n v="10.621725"/>
    <n v="60094400"/>
  </r>
  <r>
    <x v="2956"/>
    <n v="16.867187999999999"/>
    <n v="16.9375"/>
    <n v="16.71875"/>
    <x v="1500"/>
    <n v="10.552818"/>
    <n v="36683200"/>
  </r>
  <r>
    <x v="2957"/>
    <n v="16.703125"/>
    <n v="16.890625"/>
    <n v="16.671875"/>
    <x v="1501"/>
    <n v="10.636495"/>
    <n v="31720800"/>
  </r>
  <r>
    <x v="2958"/>
    <n v="16.90625"/>
    <n v="17.140625"/>
    <n v="16.859375"/>
    <x v="1502"/>
    <n v="10.779230999999999"/>
    <n v="53680800"/>
  </r>
  <r>
    <x v="2959"/>
    <n v="17.226562999999999"/>
    <n v="17.25"/>
    <n v="17.046875"/>
    <x v="1451"/>
    <n v="10.857984"/>
    <n v="68220800"/>
  </r>
  <r>
    <x v="2960"/>
    <n v="17.140625"/>
    <n v="17.265625"/>
    <n v="16.9375"/>
    <x v="1472"/>
    <n v="10.670947"/>
    <n v="39084000"/>
  </r>
  <r>
    <x v="2961"/>
    <n v="16.984375"/>
    <n v="17.40625"/>
    <n v="16.96875"/>
    <x v="1479"/>
    <n v="10.946581"/>
    <n v="56463200"/>
  </r>
  <r>
    <x v="2962"/>
    <n v="17.375"/>
    <n v="17.734375"/>
    <n v="17.28125"/>
    <x v="1438"/>
    <n v="11.14838"/>
    <n v="63053600"/>
  </r>
  <r>
    <x v="2963"/>
    <n v="17.65625"/>
    <n v="17.78125"/>
    <n v="17.640625"/>
    <x v="1503"/>
    <n v="11.143462"/>
    <n v="17392800"/>
  </r>
  <r>
    <x v="2964"/>
    <n v="17.742187999999999"/>
    <n v="18"/>
    <n v="17.703125"/>
    <x v="1504"/>
    <n v="11.325574"/>
    <n v="49006400"/>
  </r>
  <r>
    <x v="2965"/>
    <n v="17.945312999999999"/>
    <n v="18.109375"/>
    <n v="17.75"/>
    <x v="1505"/>
    <n v="11.202522"/>
    <n v="50167200"/>
  </r>
  <r>
    <x v="2966"/>
    <n v="17.710937999999999"/>
    <n v="18.132812999999999"/>
    <n v="17.625"/>
    <x v="1506"/>
    <n v="11.394482"/>
    <n v="57712000"/>
  </r>
  <r>
    <x v="2967"/>
    <n v="18.09375"/>
    <n v="18.234375"/>
    <n v="17.78125"/>
    <x v="1507"/>
    <n v="11.227137000000001"/>
    <n v="62630400"/>
  </r>
  <r>
    <x v="2968"/>
    <n v="17.765625"/>
    <n v="18.09375"/>
    <n v="17.765625"/>
    <x v="1508"/>
    <n v="11.271433"/>
    <n v="48136000"/>
  </r>
  <r>
    <x v="2969"/>
    <n v="17.9375"/>
    <n v="18.328125"/>
    <n v="17.890625"/>
    <x v="1509"/>
    <n v="11.507690999999999"/>
    <n v="49952800"/>
  </r>
  <r>
    <x v="2970"/>
    <n v="18.125"/>
    <n v="18.171875"/>
    <n v="17.9375"/>
    <x v="1510"/>
    <n v="11.364948"/>
    <n v="51782400"/>
  </r>
  <r>
    <x v="2971"/>
    <n v="17.78125"/>
    <n v="17.90625"/>
    <n v="17.625"/>
    <x v="1505"/>
    <n v="11.202522"/>
    <n v="66434400"/>
  </r>
  <r>
    <x v="2972"/>
    <n v="17.546875"/>
    <n v="17.625"/>
    <n v="17.359375"/>
    <x v="1511"/>
    <n v="10.951501"/>
    <n v="70189600"/>
  </r>
  <r>
    <x v="2973"/>
    <n v="17.21875"/>
    <n v="17.3125"/>
    <n v="17"/>
    <x v="1481"/>
    <n v="10.769384000000001"/>
    <n v="54308000"/>
  </r>
  <r>
    <x v="2974"/>
    <n v="17.054687999999999"/>
    <n v="17.125"/>
    <n v="16.625"/>
    <x v="1512"/>
    <n v="10.720162999999999"/>
    <n v="84305600"/>
  </r>
  <r>
    <x v="2975"/>
    <n v="16.984375"/>
    <n v="17.546875"/>
    <n v="16.875"/>
    <x v="1511"/>
    <n v="10.951501"/>
    <n v="65401600"/>
  </r>
  <r>
    <x v="2976"/>
    <n v="17.484375"/>
    <n v="17.546875"/>
    <n v="16.9375"/>
    <x v="1487"/>
    <n v="10.680787"/>
    <n v="51472000"/>
  </r>
  <r>
    <x v="2977"/>
    <n v="16.8125"/>
    <n v="16.84375"/>
    <n v="16.296875"/>
    <x v="1490"/>
    <n v="10.306715000000001"/>
    <n v="98774400"/>
  </r>
  <r>
    <x v="2978"/>
    <n v="16.09375"/>
    <n v="16.273437999999999"/>
    <n v="15.78125"/>
    <x v="1513"/>
    <n v="10.134444"/>
    <n v="138065600"/>
  </r>
  <r>
    <x v="2979"/>
    <n v="16.140625"/>
    <n v="16.25"/>
    <n v="15.734375"/>
    <x v="1404"/>
    <n v="10.001547"/>
    <n v="59063200"/>
  </r>
  <r>
    <x v="2980"/>
    <n v="15.882813000000001"/>
    <n v="16.03125"/>
    <n v="15.375"/>
    <x v="1514"/>
    <n v="9.7111509999999992"/>
    <n v="67195200"/>
  </r>
  <r>
    <x v="2981"/>
    <n v="15.46875"/>
    <n v="15.484375"/>
    <n v="14.75"/>
    <x v="1515"/>
    <n v="9.3666049999999998"/>
    <n v="88411200"/>
  </r>
  <r>
    <x v="2982"/>
    <n v="14.859375"/>
    <n v="15.09375"/>
    <n v="14.84375"/>
    <x v="1380"/>
    <n v="9.5093460000000007"/>
    <n v="32388800"/>
  </r>
  <r>
    <x v="2983"/>
    <n v="15.296875"/>
    <n v="15.84375"/>
    <n v="15.265625"/>
    <x v="1516"/>
    <n v="9.9474060000000009"/>
    <n v="67815200"/>
  </r>
  <r>
    <x v="2984"/>
    <n v="15.804688000000001"/>
    <n v="16.375"/>
    <n v="15.78125"/>
    <x v="1517"/>
    <n v="10.2575"/>
    <n v="77864800"/>
  </r>
  <r>
    <x v="2985"/>
    <n v="16.375"/>
    <n v="16.4375"/>
    <n v="16.125"/>
    <x v="1518"/>
    <n v="10.178746"/>
    <n v="46147200"/>
  </r>
  <r>
    <x v="2986"/>
    <n v="16.203125"/>
    <n v="16.4375"/>
    <n v="16.1875"/>
    <x v="1519"/>
    <n v="10.326406"/>
    <n v="39748000"/>
  </r>
  <r>
    <x v="2987"/>
    <n v="16.40625"/>
    <n v="16.703125"/>
    <n v="15.984375"/>
    <x v="1520"/>
    <n v="10.267341"/>
    <n v="80377600"/>
  </r>
  <r>
    <x v="2988"/>
    <n v="16.21875"/>
    <n v="16.625"/>
    <n v="16.15625"/>
    <x v="1519"/>
    <n v="10.326406"/>
    <n v="67834400"/>
  </r>
  <r>
    <x v="2989"/>
    <n v="16.234375"/>
    <n v="16.398437999999999"/>
    <n v="15.9375"/>
    <x v="1419"/>
    <n v="10.203355"/>
    <n v="61492800"/>
  </r>
  <r>
    <x v="2990"/>
    <n v="16.078125"/>
    <n v="16.515625"/>
    <n v="15.9375"/>
    <x v="1521"/>
    <n v="10.277182"/>
    <n v="77619200"/>
  </r>
  <r>
    <x v="2991"/>
    <n v="16.257812999999999"/>
    <n v="16.4375"/>
    <n v="15.734375"/>
    <x v="1404"/>
    <n v="10.001547"/>
    <n v="87534400"/>
  </r>
  <r>
    <x v="2992"/>
    <n v="15.578125"/>
    <n v="16.25"/>
    <n v="15.546875"/>
    <x v="1420"/>
    <n v="10.19843"/>
    <n v="78393600"/>
  </r>
  <r>
    <x v="2993"/>
    <n v="16.1875"/>
    <n v="16.53125"/>
    <n v="16.015625"/>
    <x v="1522"/>
    <n v="10.405158"/>
    <n v="66945600"/>
  </r>
  <r>
    <x v="2994"/>
    <n v="16.515625"/>
    <n v="16.5625"/>
    <n v="16.15625"/>
    <x v="1519"/>
    <n v="10.326406"/>
    <n v="54774400"/>
  </r>
  <r>
    <x v="2995"/>
    <n v="16.296875"/>
    <n v="16.625"/>
    <n v="16.234375"/>
    <x v="1477"/>
    <n v="10.419919"/>
    <n v="50622400"/>
  </r>
  <r>
    <x v="2996"/>
    <n v="16.546875"/>
    <n v="16.921875"/>
    <n v="16.539062999999999"/>
    <x v="1523"/>
    <n v="10.651258"/>
    <n v="72943200"/>
  </r>
  <r>
    <x v="2997"/>
    <n v="16.765625"/>
    <n v="17.25"/>
    <n v="16.75"/>
    <x v="1524"/>
    <n v="10.853057"/>
    <n v="64956000"/>
  </r>
  <r>
    <x v="2998"/>
    <n v="17.15625"/>
    <n v="17.304687999999999"/>
    <n v="16.953125"/>
    <x v="1433"/>
    <n v="10.789075"/>
    <n v="85567200"/>
  </r>
  <r>
    <x v="2999"/>
    <n v="16.945312999999999"/>
    <n v="17.484375"/>
    <n v="16.914062999999999"/>
    <x v="1525"/>
    <n v="10.917047999999999"/>
    <n v="159139200"/>
  </r>
  <r>
    <x v="3000"/>
    <n v="17.34375"/>
    <n v="17.429687999999999"/>
    <n v="17.087890999999999"/>
    <x v="1443"/>
    <n v="10.887511"/>
    <n v="63312000"/>
  </r>
  <r>
    <x v="3001"/>
    <n v="17.484375"/>
    <n v="17.734375"/>
    <n v="17.306640999999999"/>
    <x v="1526"/>
    <n v="11.163149000000001"/>
    <n v="74277600"/>
  </r>
  <r>
    <x v="3002"/>
    <n v="17.796875"/>
    <n v="18.234375"/>
    <n v="17.695312999999999"/>
    <x v="1527"/>
    <n v="11.433859"/>
    <n v="97540800"/>
  </r>
  <r>
    <x v="3003"/>
    <n v="18.28125"/>
    <n v="18.6875"/>
    <n v="18.1875"/>
    <x v="1528"/>
    <n v="11.734097999999999"/>
    <n v="79387200"/>
  </r>
  <r>
    <x v="3004"/>
    <n v="18.617187999999999"/>
    <n v="18.765625"/>
    <n v="18.4375"/>
    <x v="1529"/>
    <n v="11.675044"/>
    <n v="73571200"/>
  </r>
  <r>
    <x v="3005"/>
    <n v="18.578125"/>
    <n v="18.75"/>
    <n v="18.453125"/>
    <x v="1530"/>
    <n v="11.748863999999999"/>
    <n v="50071200"/>
  </r>
  <r>
    <x v="3006"/>
    <n v="18.96875"/>
    <n v="19.390625"/>
    <n v="18.8125"/>
    <x v="1531"/>
    <n v="12.196771"/>
    <n v="98397600"/>
  </r>
  <r>
    <x v="3007"/>
    <n v="19.390625"/>
    <n v="19.515625"/>
    <n v="19.226562999999999"/>
    <x v="1532"/>
    <n v="12.275525"/>
    <n v="61374400"/>
  </r>
  <r>
    <x v="3008"/>
    <n v="19.484375"/>
    <n v="19.75"/>
    <n v="19.382812999999999"/>
    <x v="1533"/>
    <n v="12.349358000000001"/>
    <n v="61940800"/>
  </r>
  <r>
    <x v="3009"/>
    <n v="19.765625"/>
    <n v="19.84375"/>
    <n v="19.34375"/>
    <x v="1534"/>
    <n v="12.241069"/>
    <n v="67014400"/>
  </r>
  <r>
    <x v="3010"/>
    <n v="19.421875"/>
    <n v="19.78125"/>
    <n v="19.390625"/>
    <x v="1535"/>
    <n v="12.452718000000001"/>
    <n v="50070400"/>
  </r>
  <r>
    <x v="3011"/>
    <n v="19.84375"/>
    <n v="19.859375"/>
    <n v="19.453125"/>
    <x v="1536"/>
    <n v="12.378885"/>
    <n v="54681600"/>
  </r>
  <r>
    <x v="3012"/>
    <n v="19.65625"/>
    <n v="19.9375"/>
    <n v="19.59375"/>
    <x v="1537"/>
    <n v="12.541313000000001"/>
    <n v="48099200"/>
  </r>
  <r>
    <x v="3013"/>
    <n v="19.921875"/>
    <n v="20.007812999999999"/>
    <n v="19.632812999999999"/>
    <x v="1538"/>
    <n v="12.516705999999999"/>
    <n v="76460000"/>
  </r>
  <r>
    <x v="3014"/>
    <n v="19.757812999999999"/>
    <n v="19.867187999999999"/>
    <n v="19.554687999999999"/>
    <x v="1539"/>
    <n v="12.501939999999999"/>
    <n v="76658400"/>
  </r>
  <r>
    <x v="3015"/>
    <n v="19.828125"/>
    <n v="19.84375"/>
    <n v="19.671875"/>
    <x v="1540"/>
    <n v="12.403499"/>
    <n v="42203200"/>
  </r>
  <r>
    <x v="3016"/>
    <n v="19.8125"/>
    <n v="19.8125"/>
    <n v="19.234375"/>
    <x v="1541"/>
    <n v="12.157391000000001"/>
    <n v="85673600"/>
  </r>
  <r>
    <x v="3017"/>
    <n v="19.328125"/>
    <n v="19.5"/>
    <n v="19.21875"/>
    <x v="1542"/>
    <n v="12.177080999999999"/>
    <n v="76608800"/>
  </r>
  <r>
    <x v="3018"/>
    <n v="19.4375"/>
    <n v="19.507812999999999"/>
    <n v="19.28125"/>
    <x v="1531"/>
    <n v="12.196771"/>
    <n v="73773600"/>
  </r>
  <r>
    <x v="3019"/>
    <n v="19.4375"/>
    <n v="19.46875"/>
    <n v="19.109375"/>
    <x v="1543"/>
    <n v="12.216457999999999"/>
    <n v="86092000"/>
  </r>
  <r>
    <x v="3020"/>
    <n v="20.234375"/>
    <n v="20.421875"/>
    <n v="19.84375"/>
    <x v="1544"/>
    <n v="12.856323"/>
    <n v="120803600"/>
  </r>
  <r>
    <x v="3021"/>
    <n v="20.84375"/>
    <n v="21.234375"/>
    <n v="20.46875"/>
    <x v="1545"/>
    <n v="12.935077"/>
    <n v="118302000"/>
  </r>
  <r>
    <x v="3022"/>
    <n v="20.859375"/>
    <n v="21.25"/>
    <n v="20.765625"/>
    <x v="1546"/>
    <n v="13.378059"/>
    <n v="94944400"/>
  </r>
  <r>
    <x v="3023"/>
    <n v="21.375"/>
    <n v="21.421875"/>
    <n v="21.109375"/>
    <x v="1547"/>
    <n v="13.466656"/>
    <n v="61388000"/>
  </r>
  <r>
    <x v="3024"/>
    <n v="21.390625"/>
    <n v="21.5"/>
    <n v="21.140625"/>
    <x v="1548"/>
    <n v="13.348523999999999"/>
    <n v="47532400"/>
  </r>
  <r>
    <x v="3025"/>
    <n v="21.46875"/>
    <n v="21.46875"/>
    <n v="20.765625"/>
    <x v="1549"/>
    <n v="13.122115000000001"/>
    <n v="50093600"/>
  </r>
  <r>
    <x v="3026"/>
    <n v="20.65625"/>
    <n v="21.140625"/>
    <n v="20.640625"/>
    <x v="1550"/>
    <n v="13.309150000000001"/>
    <n v="50753600"/>
  </r>
  <r>
    <x v="3027"/>
    <n v="20.609375"/>
    <n v="20.953125"/>
    <n v="20.390625"/>
    <x v="1551"/>
    <n v="12.964607000000001"/>
    <n v="71513600"/>
  </r>
  <r>
    <x v="3028"/>
    <n v="19.8125"/>
    <n v="20.359375"/>
    <n v="19.8125"/>
    <x v="1552"/>
    <n v="12.610225"/>
    <n v="92255600"/>
  </r>
  <r>
    <x v="3029"/>
    <n v="20.078125"/>
    <n v="20.6875"/>
    <n v="20.0625"/>
    <x v="1553"/>
    <n v="13.033522"/>
    <n v="51404800"/>
  </r>
  <r>
    <x v="3030"/>
    <n v="20.625"/>
    <n v="20.625"/>
    <n v="19.875"/>
    <x v="1554"/>
    <n v="12.536396"/>
    <n v="52256000"/>
  </r>
  <r>
    <x v="3031"/>
    <n v="20.296875"/>
    <n v="20.375"/>
    <n v="19.984375"/>
    <x v="1555"/>
    <n v="12.83663"/>
    <n v="47406400"/>
  </r>
  <r>
    <x v="3032"/>
    <n v="20.5"/>
    <n v="20.5"/>
    <n v="19.9375"/>
    <x v="1556"/>
    <n v="12.70866"/>
    <n v="39838800"/>
  </r>
  <r>
    <x v="3033"/>
    <n v="20.625"/>
    <n v="20.65625"/>
    <n v="20.203125"/>
    <x v="1557"/>
    <n v="12.895694000000001"/>
    <n v="47962000"/>
  </r>
  <r>
    <x v="3034"/>
    <n v="20.609375"/>
    <n v="20.75"/>
    <n v="20.390625"/>
    <x v="1558"/>
    <n v="12.974451999999999"/>
    <n v="32542400"/>
  </r>
  <r>
    <x v="3035"/>
    <n v="20.609375"/>
    <n v="20.6875"/>
    <n v="20.34375"/>
    <x v="1559"/>
    <n v="12.915388"/>
    <n v="27979600"/>
  </r>
  <r>
    <x v="3036"/>
    <n v="20.421875"/>
    <n v="20.421875"/>
    <n v="19.921875"/>
    <x v="1560"/>
    <n v="12.659446000000001"/>
    <n v="53842400"/>
  </r>
  <r>
    <x v="3037"/>
    <n v="20.015625"/>
    <n v="20.453125"/>
    <n v="19.96875"/>
    <x v="1561"/>
    <n v="12.876016"/>
    <n v="33887600"/>
  </r>
  <r>
    <x v="3038"/>
    <n v="20.375"/>
    <n v="20.578125"/>
    <n v="20.3125"/>
    <x v="1559"/>
    <n v="12.915388"/>
    <n v="30299200"/>
  </r>
  <r>
    <x v="3039"/>
    <n v="20.53125"/>
    <n v="20.75"/>
    <n v="20.125"/>
    <x v="1562"/>
    <n v="12.885851000000001"/>
    <n v="56310000"/>
  </r>
  <r>
    <x v="3040"/>
    <n v="20.296875"/>
    <n v="21.15625"/>
    <n v="20.265625"/>
    <x v="1563"/>
    <n v="13.210704"/>
    <n v="55050000"/>
  </r>
  <r>
    <x v="3041"/>
    <n v="21.046875"/>
    <n v="21.265625"/>
    <n v="20.859375"/>
    <x v="1546"/>
    <n v="13.378059"/>
    <n v="32281600"/>
  </r>
  <r>
    <x v="3042"/>
    <n v="22.625"/>
    <n v="22.734375"/>
    <n v="21.8125"/>
    <x v="1564"/>
    <n v="13.988389"/>
    <n v="124244800"/>
  </r>
  <r>
    <x v="3043"/>
    <n v="22.125"/>
    <n v="22.390625"/>
    <n v="21.875"/>
    <x v="1565"/>
    <n v="13.899789999999999"/>
    <n v="45441200"/>
  </r>
  <r>
    <x v="3044"/>
    <n v="22.34375"/>
    <n v="22.34375"/>
    <n v="21.890625"/>
    <x v="1566"/>
    <n v="13.830880000000001"/>
    <n v="38924000"/>
  </r>
  <r>
    <x v="3045"/>
    <n v="22.015625"/>
    <n v="22.15625"/>
    <n v="21.78125"/>
    <x v="1567"/>
    <n v="13.850569999999999"/>
    <n v="27463200"/>
  </r>
  <r>
    <x v="3046"/>
    <n v="22.15625"/>
    <n v="22.4375"/>
    <n v="22.125"/>
    <x v="1568"/>
    <n v="14.096676"/>
    <n v="38177200"/>
  </r>
  <r>
    <x v="3047"/>
    <n v="22.453125"/>
    <n v="22.65625"/>
    <n v="22.125"/>
    <x v="1569"/>
    <n v="14.234488000000001"/>
    <n v="36835600"/>
  </r>
  <r>
    <x v="3048"/>
    <n v="22.671875"/>
    <n v="22.984375"/>
    <n v="22.46875"/>
    <x v="1570"/>
    <n v="14.382159"/>
    <n v="41414800"/>
  </r>
  <r>
    <x v="3049"/>
    <n v="23"/>
    <n v="23.265625"/>
    <n v="22.875"/>
    <x v="1571"/>
    <n v="14.647947"/>
    <n v="40987600"/>
  </r>
  <r>
    <x v="3050"/>
    <n v="23.15625"/>
    <n v="23.15625"/>
    <n v="22.265625"/>
    <x v="1572"/>
    <n v="14.165582000000001"/>
    <n v="74232000"/>
  </r>
  <r>
    <x v="3051"/>
    <n v="22.328125"/>
    <n v="22.65625"/>
    <n v="21.6875"/>
    <x v="1573"/>
    <n v="13.742288"/>
    <n v="62630800"/>
  </r>
  <r>
    <x v="3052"/>
    <n v="21.6875"/>
    <n v="22.25"/>
    <n v="21.65625"/>
    <x v="1574"/>
    <n v="14.00808"/>
    <n v="36793200"/>
  </r>
  <r>
    <x v="3053"/>
    <n v="21.984375"/>
    <n v="22.40625"/>
    <n v="21.875"/>
    <x v="1575"/>
    <n v="14.01792"/>
    <n v="33619200"/>
  </r>
  <r>
    <x v="3054"/>
    <n v="22.203125"/>
    <n v="22.25"/>
    <n v="21.6875"/>
    <x v="1576"/>
    <n v="13.958855"/>
    <n v="33156400"/>
  </r>
  <r>
    <x v="3055"/>
    <n v="22.171875"/>
    <n v="22.390625"/>
    <n v="21.875"/>
    <x v="1577"/>
    <n v="13.929327000000001"/>
    <n v="28476800"/>
  </r>
  <r>
    <x v="3056"/>
    <n v="22.3125"/>
    <n v="22.84375"/>
    <n v="22.21875"/>
    <x v="1578"/>
    <n v="14.392006"/>
    <n v="40498400"/>
  </r>
  <r>
    <x v="3057"/>
    <n v="22.59375"/>
    <n v="23.015625"/>
    <n v="22.546875"/>
    <x v="1579"/>
    <n v="14.441212999999999"/>
    <n v="39695600"/>
  </r>
  <r>
    <x v="3058"/>
    <n v="22.875"/>
    <n v="23.0625"/>
    <n v="22.578125"/>
    <x v="1580"/>
    <n v="14.510118"/>
    <n v="37402800"/>
  </r>
  <r>
    <x v="3059"/>
    <n v="23.09375"/>
    <n v="23.75"/>
    <n v="23.046875"/>
    <x v="1581"/>
    <n v="14.903885000000001"/>
    <n v="45535200"/>
  </r>
  <r>
    <x v="3060"/>
    <n v="23.671875"/>
    <n v="23.75"/>
    <n v="23.28125"/>
    <x v="1582"/>
    <n v="14.94326"/>
    <n v="51938400"/>
  </r>
  <r>
    <x v="3061"/>
    <n v="24"/>
    <n v="24.78125"/>
    <n v="23.90625"/>
    <x v="1583"/>
    <n v="15.573278"/>
    <n v="80154000"/>
  </r>
  <r>
    <x v="3062"/>
    <n v="24.3125"/>
    <n v="24.34375"/>
    <n v="23.535156000000001"/>
    <x v="1584"/>
    <n v="14.8842"/>
    <n v="64215200"/>
  </r>
  <r>
    <x v="3063"/>
    <n v="23.375"/>
    <n v="23.6875"/>
    <n v="22.96875"/>
    <x v="1580"/>
    <n v="14.510118"/>
    <n v="51436000"/>
  </r>
  <r>
    <x v="3064"/>
    <n v="22.375"/>
    <n v="22.632812999999999"/>
    <n v="22.125"/>
    <x v="1585"/>
    <n v="14.224641999999999"/>
    <n v="58752000"/>
  </r>
  <r>
    <x v="3065"/>
    <n v="23.03125"/>
    <n v="23.0625"/>
    <n v="22.253906000000001"/>
    <x v="1586"/>
    <n v="14.155741000000001"/>
    <n v="56668000"/>
  </r>
  <r>
    <x v="3066"/>
    <n v="22.515625"/>
    <n v="22.875"/>
    <n v="22.40625"/>
    <x v="1587"/>
    <n v="14.254175"/>
    <n v="50061600"/>
  </r>
  <r>
    <x v="3067"/>
    <n v="22.875"/>
    <n v="22.90625"/>
    <n v="22.421875"/>
    <x v="1588"/>
    <n v="14.195112999999999"/>
    <n v="54473600"/>
  </r>
  <r>
    <x v="3068"/>
    <n v="22.546875"/>
    <n v="22.625"/>
    <n v="22.03125"/>
    <x v="1589"/>
    <n v="14.11636"/>
    <n v="35996000"/>
  </r>
  <r>
    <x v="3069"/>
    <n v="22.296875"/>
    <n v="22.46875"/>
    <n v="21.984375"/>
    <x v="1590"/>
    <n v="13.870258"/>
    <n v="37899600"/>
  </r>
  <r>
    <x v="3070"/>
    <n v="21.90625"/>
    <n v="22.390625"/>
    <n v="21.75"/>
    <x v="1591"/>
    <n v="13.821039000000001"/>
    <n v="50828000"/>
  </r>
  <r>
    <x v="3071"/>
    <n v="21.875"/>
    <n v="21.875"/>
    <n v="21.5"/>
    <x v="1592"/>
    <n v="13.604466"/>
    <n v="48110800"/>
  </r>
  <r>
    <x v="3072"/>
    <n v="21.546875"/>
    <n v="21.5625"/>
    <n v="20.796875"/>
    <x v="1593"/>
    <n v="13.131955"/>
    <n v="78022000"/>
  </r>
  <r>
    <x v="3073"/>
    <n v="20.46875"/>
    <n v="21.53125"/>
    <n v="20.46875"/>
    <x v="1594"/>
    <n v="13.506031"/>
    <n v="96274800"/>
  </r>
  <r>
    <x v="3074"/>
    <n v="21.53125"/>
    <n v="21.546875"/>
    <n v="21.015625"/>
    <x v="1595"/>
    <n v="13.269778000000001"/>
    <n v="51474400"/>
  </r>
  <r>
    <x v="3075"/>
    <n v="20.8125"/>
    <n v="21.4375"/>
    <n v="20.8125"/>
    <x v="1596"/>
    <n v="13.496183"/>
    <n v="64147200"/>
  </r>
  <r>
    <x v="3076"/>
    <n v="22.171875"/>
    <n v="22.1875"/>
    <n v="21.625"/>
    <x v="1597"/>
    <n v="13.693068999999999"/>
    <n v="80680400"/>
  </r>
  <r>
    <x v="3077"/>
    <n v="21.46875"/>
    <n v="22.75"/>
    <n v="21.453125"/>
    <x v="1574"/>
    <n v="14.00808"/>
    <n v="94774400"/>
  </r>
  <r>
    <x v="3078"/>
    <n v="22.53125"/>
    <n v="22.546875"/>
    <n v="22.1875"/>
    <x v="1598"/>
    <n v="14.086829"/>
    <n v="48150800"/>
  </r>
  <r>
    <x v="3079"/>
    <n v="21.125"/>
    <n v="21.625"/>
    <n v="21.125"/>
    <x v="1599"/>
    <n v="13.555243000000001"/>
    <n v="80395600"/>
  </r>
  <r>
    <x v="3080"/>
    <n v="21.453125"/>
    <n v="21.734375"/>
    <n v="21.390625"/>
    <x v="1600"/>
    <n v="13.624158"/>
    <n v="52234400"/>
  </r>
  <r>
    <x v="3081"/>
    <n v="21.53125"/>
    <n v="21.71875"/>
    <n v="21.34375"/>
    <x v="1594"/>
    <n v="13.506031"/>
    <n v="35698800"/>
  </r>
  <r>
    <x v="3082"/>
    <n v="21.453125"/>
    <n v="21.84375"/>
    <n v="21.375"/>
    <x v="1592"/>
    <n v="13.604466"/>
    <n v="36680000"/>
  </r>
  <r>
    <x v="3083"/>
    <n v="21.65625"/>
    <n v="21.6875"/>
    <n v="21.359375"/>
    <x v="1601"/>
    <n v="13.476497999999999"/>
    <n v="36129200"/>
  </r>
  <r>
    <x v="3084"/>
    <n v="21.328125"/>
    <n v="21.546875"/>
    <n v="20.875"/>
    <x v="1602"/>
    <n v="13.171329999999999"/>
    <n v="44473600"/>
  </r>
  <r>
    <x v="3085"/>
    <n v="20.71875"/>
    <n v="21.53125"/>
    <n v="20.71875"/>
    <x v="1603"/>
    <n v="13.545401999999999"/>
    <n v="58574400"/>
  </r>
  <r>
    <x v="3086"/>
    <n v="21.4375"/>
    <n v="21.59375"/>
    <n v="21.265625"/>
    <x v="1604"/>
    <n v="13.594624"/>
    <n v="30746800"/>
  </r>
  <r>
    <x v="3087"/>
    <n v="21.59375"/>
    <n v="21.625"/>
    <n v="21.1875"/>
    <x v="1605"/>
    <n v="13.358376"/>
    <n v="34091200"/>
  </r>
  <r>
    <x v="3088"/>
    <n v="20.96875"/>
    <n v="21.152343999999999"/>
    <n v="20.78125"/>
    <x v="1606"/>
    <n v="13.191020999999999"/>
    <n v="42436800"/>
  </r>
  <r>
    <x v="3089"/>
    <n v="21.015625"/>
    <n v="21.484375"/>
    <n v="20.96875"/>
    <x v="1547"/>
    <n v="13.466656"/>
    <n v="38570800"/>
  </r>
  <r>
    <x v="3090"/>
    <n v="21.46875"/>
    <n v="21.609375"/>
    <n v="21.03125"/>
    <x v="1607"/>
    <n v="13.279617"/>
    <n v="36010800"/>
  </r>
  <r>
    <x v="3091"/>
    <n v="21.171875"/>
    <n v="21.53125"/>
    <n v="20.90625"/>
    <x v="1599"/>
    <n v="13.555243000000001"/>
    <n v="33717600"/>
  </r>
  <r>
    <x v="3092"/>
    <n v="21.46875"/>
    <n v="21.625"/>
    <n v="21.1875"/>
    <x v="1608"/>
    <n v="13.584783"/>
    <n v="34431600"/>
  </r>
  <r>
    <x v="3093"/>
    <n v="21.40625"/>
    <n v="21.578125"/>
    <n v="21.25"/>
    <x v="1596"/>
    <n v="13.496183"/>
    <n v="18886400"/>
  </r>
  <r>
    <x v="3094"/>
    <n v="21.328125"/>
    <n v="21.890625"/>
    <n v="21.3125"/>
    <x v="1609"/>
    <n v="13.712749000000001"/>
    <n v="35690400"/>
  </r>
  <r>
    <x v="3095"/>
    <n v="21.65625"/>
    <n v="22.09375"/>
    <n v="21.46875"/>
    <x v="1603"/>
    <n v="13.545401999999999"/>
    <n v="33290400"/>
  </r>
  <r>
    <x v="3096"/>
    <n v="21.609375"/>
    <n v="21.78125"/>
    <n v="21.28125"/>
    <x v="1610"/>
    <n v="13.43712"/>
    <n v="41271200"/>
  </r>
  <r>
    <x v="3097"/>
    <n v="21.21875"/>
    <n v="21.53125"/>
    <n v="21"/>
    <x v="1594"/>
    <n v="13.506031"/>
    <n v="41323600"/>
  </r>
  <r>
    <x v="3098"/>
    <n v="21.171875"/>
    <n v="21.828125"/>
    <n v="21.140625"/>
    <x v="1611"/>
    <n v="13.535567"/>
    <n v="42846000"/>
  </r>
  <r>
    <x v="3099"/>
    <n v="21.578125"/>
    <n v="22.484375"/>
    <n v="21.375"/>
    <x v="1586"/>
    <n v="14.155741000000001"/>
    <n v="61138400"/>
  </r>
  <r>
    <x v="3100"/>
    <n v="22.484375"/>
    <n v="23.09375"/>
    <n v="22.4375"/>
    <x v="1612"/>
    <n v="14.342772"/>
    <n v="76147600"/>
  </r>
  <r>
    <x v="3101"/>
    <n v="22.703125"/>
    <n v="22.9375"/>
    <n v="22.59375"/>
    <x v="1613"/>
    <n v="14.362466"/>
    <n v="39228400"/>
  </r>
  <r>
    <x v="3102"/>
    <n v="23.21875"/>
    <n v="23.6875"/>
    <n v="23.125"/>
    <x v="1614"/>
    <n v="14.913729"/>
    <n v="91226800"/>
  </r>
  <r>
    <x v="3103"/>
    <n v="23.6875"/>
    <n v="23.984375"/>
    <n v="23.421875"/>
    <x v="1615"/>
    <n v="15.090920000000001"/>
    <n v="48969600"/>
  </r>
  <r>
    <x v="3104"/>
    <n v="23.953125"/>
    <n v="25.21875"/>
    <n v="23.8125"/>
    <x v="1616"/>
    <n v="15.868600000000001"/>
    <n v="124675200"/>
  </r>
  <r>
    <x v="3105"/>
    <n v="25.421875"/>
    <n v="26.28125"/>
    <n v="24.984375"/>
    <x v="1617"/>
    <n v="16.528158000000001"/>
    <n v="105724800"/>
  </r>
  <r>
    <x v="3106"/>
    <n v="26.46875"/>
    <n v="26.71875"/>
    <n v="25.34375"/>
    <x v="1618"/>
    <n v="15.996575"/>
    <n v="88969600"/>
  </r>
  <r>
    <x v="3107"/>
    <n v="25.5625"/>
    <n v="26.15625"/>
    <n v="25.5"/>
    <x v="1619"/>
    <n v="16.449396"/>
    <n v="55680400"/>
  </r>
  <r>
    <x v="3108"/>
    <n v="26.375"/>
    <n v="26.921875"/>
    <n v="26.3125"/>
    <x v="1620"/>
    <n v="16.921908999999999"/>
    <n v="65906000"/>
  </r>
  <r>
    <x v="3109"/>
    <n v="26.3125"/>
    <n v="27.140625"/>
    <n v="26.15625"/>
    <x v="1621"/>
    <n v="17.069579999999998"/>
    <n v="77010000"/>
  </r>
  <r>
    <x v="3110"/>
    <n v="27.28125"/>
    <n v="27.53125"/>
    <n v="26.796875"/>
    <x v="1622"/>
    <n v="17.227083"/>
    <n v="53470400"/>
  </r>
  <r>
    <x v="3111"/>
    <n v="27.203125"/>
    <n v="27.28125"/>
    <n v="26.78125"/>
    <x v="1623"/>
    <n v="16.892378000000001"/>
    <n v="27321200"/>
  </r>
  <r>
    <x v="3112"/>
    <n v="26.71875"/>
    <n v="27.015625"/>
    <n v="26.34375"/>
    <x v="1624"/>
    <n v="16.980975999999998"/>
    <n v="35307600"/>
  </r>
  <r>
    <x v="3113"/>
    <n v="26.953125"/>
    <n v="27.140625"/>
    <n v="26.625"/>
    <x v="1625"/>
    <n v="17.000665999999999"/>
    <n v="32422800"/>
  </r>
  <r>
    <x v="3114"/>
    <n v="27.03125"/>
    <n v="27.53125"/>
    <n v="26.6875"/>
    <x v="1626"/>
    <n v="17.30583"/>
    <n v="41553600"/>
  </r>
  <r>
    <x v="3115"/>
    <n v="27.5"/>
    <n v="28"/>
    <n v="27.4375"/>
    <x v="1627"/>
    <n v="17.483021000000001"/>
    <n v="43690000"/>
  </r>
  <r>
    <x v="3116"/>
    <n v="27.78125"/>
    <n v="28.3125"/>
    <n v="27.46875"/>
    <x v="1628"/>
    <n v="17.827563999999999"/>
    <n v="45396800"/>
  </r>
  <r>
    <x v="3117"/>
    <n v="28.53125"/>
    <n v="29.5625"/>
    <n v="28.40625"/>
    <x v="1629"/>
    <n v="18.516645"/>
    <n v="69223200"/>
  </r>
  <r>
    <x v="3118"/>
    <n v="29.5625"/>
    <n v="29.6875"/>
    <n v="28.875"/>
    <x v="1630"/>
    <n v="18.349304"/>
    <n v="56972400"/>
  </r>
  <r>
    <x v="3119"/>
    <n v="29"/>
    <n v="29.5"/>
    <n v="28.90625"/>
    <x v="1631"/>
    <n v="18.487117999999999"/>
    <n v="48690000"/>
  </r>
  <r>
    <x v="3120"/>
    <n v="29.515625"/>
    <n v="29.71875"/>
    <n v="29.15625"/>
    <x v="1631"/>
    <n v="18.487117999999999"/>
    <n v="65125200"/>
  </r>
  <r>
    <x v="3121"/>
    <n v="29.375"/>
    <n v="29.90625"/>
    <n v="28.984375"/>
    <x v="1632"/>
    <n v="18.575707999999999"/>
    <n v="83108400"/>
  </r>
  <r>
    <x v="3122"/>
    <n v="29.546875"/>
    <n v="29.875"/>
    <n v="29.203125"/>
    <x v="1633"/>
    <n v="18.428055000000001"/>
    <n v="45794800"/>
  </r>
  <r>
    <x v="3123"/>
    <n v="29.21875"/>
    <n v="29.75"/>
    <n v="28.125"/>
    <x v="1634"/>
    <n v="17.768501000000001"/>
    <n v="74605200"/>
  </r>
  <r>
    <x v="3124"/>
    <n v="28"/>
    <n v="29.3125"/>
    <n v="27.96875"/>
    <x v="1635"/>
    <n v="18.388674000000002"/>
    <n v="71654400"/>
  </r>
  <r>
    <x v="3125"/>
    <n v="29.078125"/>
    <n v="29.375"/>
    <n v="28.25"/>
    <x v="1636"/>
    <n v="17.798034999999999"/>
    <n v="51029600"/>
  </r>
  <r>
    <x v="3126"/>
    <n v="28.4375"/>
    <n v="28.90625"/>
    <n v="28.125"/>
    <x v="1637"/>
    <n v="17.926003000000001"/>
    <n v="60366400"/>
  </r>
  <r>
    <x v="3127"/>
    <n v="28.28125"/>
    <n v="29.1875"/>
    <n v="27.671875"/>
    <x v="1635"/>
    <n v="18.388674000000002"/>
    <n v="58998000"/>
  </r>
  <r>
    <x v="3128"/>
    <n v="29"/>
    <n v="29.21875"/>
    <n v="28"/>
    <x v="1638"/>
    <n v="17.679908999999999"/>
    <n v="78378400"/>
  </r>
  <r>
    <x v="3129"/>
    <n v="28.3125"/>
    <n v="28.5625"/>
    <n v="27.515625"/>
    <x v="1639"/>
    <n v="17.433805"/>
    <n v="59738000"/>
  </r>
  <r>
    <x v="3130"/>
    <n v="27.984375"/>
    <n v="28.40625"/>
    <n v="27.6875"/>
    <x v="1640"/>
    <n v="17.866945000000001"/>
    <n v="72746400"/>
  </r>
  <r>
    <x v="3131"/>
    <n v="28.234375"/>
    <n v="28.378906000000001"/>
    <n v="27.484375"/>
    <x v="1641"/>
    <n v="17.315676"/>
    <n v="53705200"/>
  </r>
  <r>
    <x v="3132"/>
    <n v="27.28125"/>
    <n v="27.71875"/>
    <n v="26.84375"/>
    <x v="1642"/>
    <n v="17.079415999999998"/>
    <n v="73566400"/>
  </r>
  <r>
    <x v="3133"/>
    <n v="27.15625"/>
    <n v="27.40625"/>
    <n v="26.046875"/>
    <x v="1643"/>
    <n v="16.459244000000002"/>
    <n v="91412000"/>
  </r>
  <r>
    <x v="3134"/>
    <n v="26.03125"/>
    <n v="26.5625"/>
    <n v="25.375"/>
    <x v="1644"/>
    <n v="16.42971"/>
    <n v="120208800"/>
  </r>
  <r>
    <x v="3135"/>
    <n v="25.9375"/>
    <n v="26.734375"/>
    <n v="25.90625"/>
    <x v="1645"/>
    <n v="16.833323"/>
    <n v="68308000"/>
  </r>
  <r>
    <x v="3136"/>
    <n v="26.859375"/>
    <n v="26.875"/>
    <n v="26.265625"/>
    <x v="1646"/>
    <n v="16.675813999999999"/>
    <n v="54972400"/>
  </r>
  <r>
    <x v="3137"/>
    <n v="26.453125"/>
    <n v="26.578125"/>
    <n v="26.109375"/>
    <x v="1619"/>
    <n v="16.449396"/>
    <n v="46763200"/>
  </r>
  <r>
    <x v="3138"/>
    <n v="25.71875"/>
    <n v="26.09375"/>
    <n v="25.5"/>
    <x v="1647"/>
    <n v="16.291899000000001"/>
    <n v="60976400"/>
  </r>
  <r>
    <x v="3139"/>
    <n v="26.078125"/>
    <n v="26.296875"/>
    <n v="25.75"/>
    <x v="1648"/>
    <n v="16.547834000000002"/>
    <n v="53760000"/>
  </r>
  <r>
    <x v="3140"/>
    <n v="26.03125"/>
    <n v="26.5"/>
    <n v="25.9375"/>
    <x v="1649"/>
    <n v="16.370643999999999"/>
    <n v="51193200"/>
  </r>
  <r>
    <x v="3141"/>
    <n v="26.171875"/>
    <n v="26.265625"/>
    <n v="25.875"/>
    <x v="1650"/>
    <n v="16.419865000000001"/>
    <n v="29566400"/>
  </r>
  <r>
    <x v="3142"/>
    <n v="25.875"/>
    <n v="26.84375"/>
    <n v="25.75"/>
    <x v="1651"/>
    <n v="16.902225000000001"/>
    <n v="54073200"/>
  </r>
  <r>
    <x v="3143"/>
    <n v="26.96875"/>
    <n v="27.953125"/>
    <n v="26.84375"/>
    <x v="1652"/>
    <n v="17.522402"/>
    <n v="70591200"/>
  </r>
  <r>
    <x v="3144"/>
    <n v="28.0625"/>
    <n v="28.1875"/>
    <n v="27.5625"/>
    <x v="1653"/>
    <n v="17.414117999999998"/>
    <n v="55709600"/>
  </r>
  <r>
    <x v="3145"/>
    <n v="27.53125"/>
    <n v="28.1875"/>
    <n v="27.421875"/>
    <x v="1654"/>
    <n v="17.729127999999999"/>
    <n v="49970400"/>
  </r>
  <r>
    <x v="3146"/>
    <n v="27.78125"/>
    <n v="27.96875"/>
    <n v="27.1875"/>
    <x v="1655"/>
    <n v="17.423957999999999"/>
    <n v="59523600"/>
  </r>
  <r>
    <x v="3147"/>
    <n v="27.578125"/>
    <n v="28"/>
    <n v="27.5"/>
    <x v="1656"/>
    <n v="17.384581000000001"/>
    <n v="26319200"/>
  </r>
  <r>
    <x v="3148"/>
    <n v="27.84375"/>
    <n v="28.421875"/>
    <n v="27.78125"/>
    <x v="1634"/>
    <n v="17.768501000000001"/>
    <n v="58026800"/>
  </r>
  <r>
    <x v="3149"/>
    <n v="27.8125"/>
    <n v="28.4375"/>
    <n v="27.71875"/>
    <x v="1654"/>
    <n v="17.729127999999999"/>
    <n v="44804400"/>
  </r>
  <r>
    <x v="3150"/>
    <n v="27.640625"/>
    <n v="28.1875"/>
    <n v="27.125"/>
    <x v="1657"/>
    <n v="17.207386"/>
    <n v="74874000"/>
  </r>
  <r>
    <x v="3151"/>
    <n v="27.0625"/>
    <n v="27.40625"/>
    <n v="26.1875"/>
    <x v="1658"/>
    <n v="16.577373999999999"/>
    <n v="72730000"/>
  </r>
  <r>
    <x v="3152"/>
    <n v="26.21875"/>
    <n v="26.625"/>
    <n v="23.9375"/>
    <x v="1659"/>
    <n v="15.110614"/>
    <n v="132690400"/>
  </r>
  <r>
    <x v="3153"/>
    <n v="23.8125"/>
    <n v="25.4375"/>
    <n v="23.625"/>
    <x v="1660"/>
    <n v="15.947350999999999"/>
    <n v="140112400"/>
  </r>
  <r>
    <x v="3154"/>
    <n v="25.453125"/>
    <n v="26.0625"/>
    <n v="25.0625"/>
    <x v="1661"/>
    <n v="15.839064"/>
    <n v="63438400"/>
  </r>
  <r>
    <x v="3155"/>
    <n v="24.6875"/>
    <n v="25.1875"/>
    <n v="24.59375"/>
    <x v="1662"/>
    <n v="15.632346999999999"/>
    <n v="67506800"/>
  </r>
  <r>
    <x v="3156"/>
    <n v="24.921875"/>
    <n v="25.0625"/>
    <n v="24.03125"/>
    <x v="1663"/>
    <n v="15.218893"/>
    <n v="50890400"/>
  </r>
  <r>
    <x v="3157"/>
    <n v="25"/>
    <n v="25.515625"/>
    <n v="24.765625"/>
    <x v="1664"/>
    <n v="16.060562000000001"/>
    <n v="60625600"/>
  </r>
  <r>
    <x v="3158"/>
    <n v="25.5625"/>
    <n v="26.109375"/>
    <n v="25.40625"/>
    <x v="1665"/>
    <n v="16.104859999999999"/>
    <n v="65480800"/>
  </r>
  <r>
    <x v="3159"/>
    <n v="25"/>
    <n v="25.28125"/>
    <n v="24.671875"/>
    <x v="1616"/>
    <n v="15.868600000000001"/>
    <n v="60758000"/>
  </r>
  <r>
    <x v="3160"/>
    <n v="25.28125"/>
    <n v="26.15625"/>
    <n v="25.03125"/>
    <x v="1650"/>
    <n v="16.419865000000001"/>
    <n v="58989200"/>
  </r>
  <r>
    <x v="3161"/>
    <n v="26.234375"/>
    <n v="26.765625"/>
    <n v="26.21875"/>
    <x v="1666"/>
    <n v="16.695502999999999"/>
    <n v="45086800"/>
  </r>
  <r>
    <x v="3162"/>
    <n v="26.46875"/>
    <n v="27.109375"/>
    <n v="26.28125"/>
    <x v="1667"/>
    <n v="17.059730999999999"/>
    <n v="49367600"/>
  </r>
  <r>
    <x v="3163"/>
    <n v="26.96875"/>
    <n v="27.125"/>
    <n v="26.53125"/>
    <x v="1668"/>
    <n v="17.040033000000001"/>
    <n v="42886800"/>
  </r>
  <r>
    <x v="3164"/>
    <n v="26.328125"/>
    <n v="26.625"/>
    <n v="26.203125"/>
    <x v="1617"/>
    <n v="16.528158000000001"/>
    <n v="45178400"/>
  </r>
  <r>
    <x v="3165"/>
    <n v="26.4375"/>
    <n v="26.5625"/>
    <n v="26.078125"/>
    <x v="1669"/>
    <n v="16.597066999999999"/>
    <n v="47361600"/>
  </r>
  <r>
    <x v="3166"/>
    <n v="25.625"/>
    <n v="27.015625"/>
    <n v="25.59375"/>
    <x v="1670"/>
    <n v="16.990822000000001"/>
    <n v="45872000"/>
  </r>
  <r>
    <x v="3167"/>
    <n v="27.109375"/>
    <n v="27.46875"/>
    <n v="26.6875"/>
    <x v="1671"/>
    <n v="17.19755"/>
    <n v="43082000"/>
  </r>
  <r>
    <x v="3168"/>
    <n v="27.40625"/>
    <n v="28.46875"/>
    <n v="27.125"/>
    <x v="1672"/>
    <n v="17.896478999999999"/>
    <n v="65263600"/>
  </r>
  <r>
    <x v="3169"/>
    <n v="28.28125"/>
    <n v="28.65625"/>
    <n v="27.25"/>
    <x v="1673"/>
    <n v="17.345206999999998"/>
    <n v="63521600"/>
  </r>
  <r>
    <x v="3170"/>
    <n v="27.28125"/>
    <n v="28.28125"/>
    <n v="27.15625"/>
    <x v="1674"/>
    <n v="17.807877000000001"/>
    <n v="47878400"/>
  </r>
  <r>
    <x v="3171"/>
    <n v="28.25"/>
    <n v="28.59375"/>
    <n v="27.4375"/>
    <x v="1675"/>
    <n v="17.532242"/>
    <n v="41405200"/>
  </r>
  <r>
    <x v="3172"/>
    <n v="27.953125"/>
    <n v="28.5"/>
    <n v="27.84375"/>
    <x v="1676"/>
    <n v="17.778343"/>
    <n v="48743200"/>
  </r>
  <r>
    <x v="3173"/>
    <n v="28.078125"/>
    <n v="28.390625"/>
    <n v="27.507812999999999"/>
    <x v="1677"/>
    <n v="17.335364999999999"/>
    <n v="38875600"/>
  </r>
  <r>
    <x v="3174"/>
    <n v="27.015625"/>
    <n v="27.375"/>
    <n v="26"/>
    <x v="1678"/>
    <n v="16.390339000000001"/>
    <n v="65442400"/>
  </r>
  <r>
    <x v="3175"/>
    <n v="25.84375"/>
    <n v="26.296875"/>
    <n v="25.25"/>
    <x v="1679"/>
    <n v="16.400179000000001"/>
    <n v="65889600"/>
  </r>
  <r>
    <x v="3176"/>
    <n v="25.625"/>
    <n v="25.71875"/>
    <n v="24.125"/>
    <x v="1680"/>
    <n v="15.937507999999999"/>
    <n v="114937600"/>
  </r>
  <r>
    <x v="3177"/>
    <n v="25.625"/>
    <n v="25.90625"/>
    <n v="24.34375"/>
    <x v="1681"/>
    <n v="15.376404000000001"/>
    <n v="76550000"/>
  </r>
  <r>
    <x v="3178"/>
    <n v="24.34375"/>
    <n v="24.9375"/>
    <n v="23.34375"/>
    <x v="1682"/>
    <n v="14.82513"/>
    <n v="90710400"/>
  </r>
  <r>
    <x v="3179"/>
    <n v="22.640625"/>
    <n v="22.96875"/>
    <n v="21.9375"/>
    <x v="1613"/>
    <n v="14.362466"/>
    <n v="144719200"/>
  </r>
  <r>
    <x v="3180"/>
    <n v="23.296875"/>
    <n v="24.25"/>
    <n v="23.0625"/>
    <x v="1683"/>
    <n v="15.258266000000001"/>
    <n v="72661600"/>
  </r>
  <r>
    <x v="3181"/>
    <n v="24.8125"/>
    <n v="25.25"/>
    <n v="24.625"/>
    <x v="1684"/>
    <n v="15.711095"/>
    <n v="51502800"/>
  </r>
  <r>
    <x v="3182"/>
    <n v="24.875"/>
    <n v="24.9375"/>
    <n v="23.9375"/>
    <x v="1685"/>
    <n v="15.189363999999999"/>
    <n v="47995600"/>
  </r>
  <r>
    <x v="3183"/>
    <n v="23.96875"/>
    <n v="25.34375"/>
    <n v="23.96875"/>
    <x v="1686"/>
    <n v="15.780004999999999"/>
    <n v="62403200"/>
  </r>
  <r>
    <x v="3184"/>
    <n v="25.03125"/>
    <n v="26.40625"/>
    <n v="24.90625"/>
    <x v="1687"/>
    <n v="16.606905000000001"/>
    <n v="66253600"/>
  </r>
  <r>
    <x v="3185"/>
    <n v="26.5"/>
    <n v="26.625"/>
    <n v="26"/>
    <x v="1648"/>
    <n v="16.547834000000002"/>
    <n v="68620000"/>
  </r>
  <r>
    <x v="3186"/>
    <n v="26.03125"/>
    <n v="26.046875"/>
    <n v="25.28125"/>
    <x v="1688"/>
    <n v="16.213139000000002"/>
    <n v="60177600"/>
  </r>
  <r>
    <x v="3187"/>
    <n v="25.8125"/>
    <n v="25.84375"/>
    <n v="24.90625"/>
    <x v="1689"/>
    <n v="15.789852"/>
    <n v="94368400"/>
  </r>
  <r>
    <x v="3188"/>
    <n v="26.21875"/>
    <n v="26.71875"/>
    <n v="25.765625"/>
    <x v="1690"/>
    <n v="16.764403999999999"/>
    <n v="125377200"/>
  </r>
  <r>
    <x v="3189"/>
    <n v="26.5"/>
    <n v="27.53125"/>
    <n v="26.3125"/>
    <x v="1691"/>
    <n v="17.325520000000001"/>
    <n v="81910800"/>
  </r>
  <r>
    <x v="3190"/>
    <n v="27.25"/>
    <n v="27.5"/>
    <n v="26.546875"/>
    <x v="1692"/>
    <n v="16.754563999999998"/>
    <n v="59882000"/>
  </r>
  <r>
    <x v="3191"/>
    <n v="26.703125"/>
    <n v="27"/>
    <n v="26.421875"/>
    <x v="1693"/>
    <n v="16.862848"/>
    <n v="59678400"/>
  </r>
  <r>
    <x v="3192"/>
    <n v="26.9375"/>
    <n v="26.96875"/>
    <n v="26.25"/>
    <x v="1687"/>
    <n v="16.606905000000001"/>
    <n v="65434800"/>
  </r>
  <r>
    <x v="3193"/>
    <n v="26.21875"/>
    <n v="26.65625"/>
    <n v="26.21875"/>
    <x v="1694"/>
    <n v="16.646281999999999"/>
    <n v="56808400"/>
  </r>
  <r>
    <x v="3194"/>
    <n v="26.359375"/>
    <n v="26.875"/>
    <n v="26.359375"/>
    <x v="1695"/>
    <n v="16.793942999999999"/>
    <n v="52402800"/>
  </r>
  <r>
    <x v="3195"/>
    <n v="26.8125"/>
    <n v="27.046875"/>
    <n v="26.28125"/>
    <x v="1646"/>
    <n v="16.675813999999999"/>
    <n v="59322800"/>
  </r>
  <r>
    <x v="3196"/>
    <n v="26.59375"/>
    <n v="26.71875"/>
    <n v="26.25"/>
    <x v="1696"/>
    <n v="16.665973999999999"/>
    <n v="48388400"/>
  </r>
  <r>
    <x v="3197"/>
    <n v="26.375"/>
    <n v="26.640625"/>
    <n v="26.1875"/>
    <x v="1697"/>
    <n v="16.567527999999999"/>
    <n v="36546800"/>
  </r>
  <r>
    <x v="3198"/>
    <n v="26.453125"/>
    <n v="26.828125"/>
    <n v="26.21875"/>
    <x v="1698"/>
    <n v="16.616752999999999"/>
    <n v="67459600"/>
  </r>
  <r>
    <x v="3199"/>
    <n v="26.328125"/>
    <n v="26.90625"/>
    <n v="26.3125"/>
    <x v="1692"/>
    <n v="16.754563999999998"/>
    <n v="76727200"/>
  </r>
  <r>
    <x v="3200"/>
    <n v="26.515625"/>
    <n v="27.4375"/>
    <n v="26.484375"/>
    <x v="1699"/>
    <n v="17.217230000000001"/>
    <n v="74461200"/>
  </r>
  <r>
    <x v="3201"/>
    <n v="27.296875"/>
    <n v="27.84375"/>
    <n v="27.203125"/>
    <x v="1639"/>
    <n v="17.433805"/>
    <n v="68956800"/>
  </r>
  <r>
    <x v="3202"/>
    <n v="27.53125"/>
    <n v="28.359375"/>
    <n v="27.515625"/>
    <x v="1700"/>
    <n v="17.650372000000001"/>
    <n v="72075600"/>
  </r>
  <r>
    <x v="3203"/>
    <n v="28.359375"/>
    <n v="28.6875"/>
    <n v="27.71875"/>
    <x v="1701"/>
    <n v="17.492867"/>
    <n v="63899200"/>
  </r>
  <r>
    <x v="3204"/>
    <n v="27.5625"/>
    <n v="27.78125"/>
    <n v="27.125"/>
    <x v="1702"/>
    <n v="17.128643"/>
    <n v="38526800"/>
  </r>
  <r>
    <x v="3205"/>
    <n v="27.109375"/>
    <n v="27.625"/>
    <n v="27.09375"/>
    <x v="1691"/>
    <n v="17.325520000000001"/>
    <n v="28368800"/>
  </r>
  <r>
    <x v="3206"/>
    <n v="27.828125"/>
    <n v="27.9375"/>
    <n v="26.875"/>
    <x v="1703"/>
    <n v="17.138480999999999"/>
    <n v="42620400"/>
  </r>
  <r>
    <x v="3207"/>
    <n v="27.25"/>
    <n v="28.09375"/>
    <n v="27.234375"/>
    <x v="1704"/>
    <n v="17.620846"/>
    <n v="58744000"/>
  </r>
  <r>
    <x v="3208"/>
    <n v="27.390625"/>
    <n v="27.765625"/>
    <n v="27.28125"/>
    <x v="1705"/>
    <n v="17.286145999999999"/>
    <n v="41691200"/>
  </r>
  <r>
    <x v="3209"/>
    <n v="27.265625"/>
    <n v="28.125"/>
    <n v="27.265625"/>
    <x v="1706"/>
    <n v="17.601151000000002"/>
    <n v="45220800"/>
  </r>
  <r>
    <x v="3210"/>
    <n v="28.1875"/>
    <n v="28.4375"/>
    <n v="27.8125"/>
    <x v="1672"/>
    <n v="17.896478999999999"/>
    <n v="48405200"/>
  </r>
  <r>
    <x v="3211"/>
    <n v="28.125"/>
    <n v="30.046875"/>
    <n v="28.125"/>
    <x v="1707"/>
    <n v="18.772590999999998"/>
    <n v="110870400"/>
  </r>
  <r>
    <x v="3212"/>
    <n v="29.671875"/>
    <n v="31.265625"/>
    <n v="29.65625"/>
    <x v="1708"/>
    <n v="19.166354999999999"/>
    <n v="101114800"/>
  </r>
  <r>
    <x v="3213"/>
    <n v="30.671875"/>
    <n v="31.09375"/>
    <n v="30.1875"/>
    <x v="1709"/>
    <n v="19.569963000000001"/>
    <n v="41394000"/>
  </r>
  <r>
    <x v="3214"/>
    <n v="31.28125"/>
    <n v="32.03125"/>
    <n v="31.078125"/>
    <x v="1710"/>
    <n v="20.170445999999998"/>
    <n v="26335600"/>
  </r>
  <r>
    <x v="3215"/>
    <n v="32.34375"/>
    <n v="32.566406000000001"/>
    <n v="30.484375"/>
    <x v="1711"/>
    <n v="19.215578000000001"/>
    <n v="70900000"/>
  </r>
  <r>
    <x v="3216"/>
    <n v="30.0625"/>
    <n v="32.4375"/>
    <n v="30.03125"/>
    <x v="1712"/>
    <n v="20.39686"/>
    <n v="86330800"/>
  </r>
  <r>
    <x v="3217"/>
    <n v="32.296875"/>
    <n v="32.4375"/>
    <n v="31.375"/>
    <x v="1713"/>
    <n v="19.963726000000001"/>
    <n v="65759600"/>
  </r>
  <r>
    <x v="3218"/>
    <n v="31.71875"/>
    <n v="32.234375"/>
    <n v="30.5"/>
    <x v="1714"/>
    <n v="19.235258000000002"/>
    <n v="51426800"/>
  </r>
  <r>
    <x v="3219"/>
    <n v="31.234375"/>
    <n v="31.84375"/>
    <n v="31"/>
    <x v="1715"/>
    <n v="20.062159999999999"/>
    <n v="44352000"/>
  </r>
  <r>
    <x v="3220"/>
    <n v="31.921875"/>
    <n v="33.4375"/>
    <n v="31.6875"/>
    <x v="1716"/>
    <n v="21.036728"/>
    <n v="89809200"/>
  </r>
  <r>
    <x v="3221"/>
    <n v="33.21875"/>
    <n v="33.5625"/>
    <n v="32.4375"/>
    <x v="1717"/>
    <n v="20.662645000000001"/>
    <n v="77585200"/>
  </r>
  <r>
    <x v="3222"/>
    <n v="33.03125"/>
    <n v="33.453125"/>
    <n v="32.5"/>
    <x v="1718"/>
    <n v="21.046572000000001"/>
    <n v="44781600"/>
  </r>
  <r>
    <x v="3223"/>
    <n v="33.28125"/>
    <n v="33.65625"/>
    <n v="32.84375"/>
    <x v="1719"/>
    <n v="20.721713999999999"/>
    <n v="57015600"/>
  </r>
  <r>
    <x v="3224"/>
    <n v="32.75"/>
    <n v="33.671875"/>
    <n v="32.6875"/>
    <x v="1720"/>
    <n v="21.105637000000002"/>
    <n v="51728800"/>
  </r>
  <r>
    <x v="3225"/>
    <n v="33.1875"/>
    <n v="33.4375"/>
    <n v="31.921875"/>
    <x v="1721"/>
    <n v="20.150760999999999"/>
    <n v="64077600"/>
  </r>
  <r>
    <x v="3226"/>
    <n v="32.328125"/>
    <n v="33"/>
    <n v="32.3125"/>
    <x v="1722"/>
    <n v="20.770931000000001"/>
    <n v="51719600"/>
  </r>
  <r>
    <x v="3227"/>
    <n v="33.125"/>
    <n v="33.78125"/>
    <n v="32.28125"/>
    <x v="1723"/>
    <n v="21.066251999999999"/>
    <n v="60024000"/>
  </r>
  <r>
    <x v="3228"/>
    <n v="33.546875"/>
    <n v="33.71875"/>
    <n v="33.0625"/>
    <x v="1724"/>
    <n v="21.164698000000001"/>
    <n v="46963600"/>
  </r>
  <r>
    <x v="3229"/>
    <n v="33.75"/>
    <n v="34.5625"/>
    <n v="33.53125"/>
    <x v="1725"/>
    <n v="21.706113999999999"/>
    <n v="59648000"/>
  </r>
  <r>
    <x v="3230"/>
    <n v="34.65625"/>
    <n v="35.546875"/>
    <n v="34.4375"/>
    <x v="1726"/>
    <n v="22.119575999999999"/>
    <n v="48112000"/>
  </r>
  <r>
    <x v="3231"/>
    <n v="35.125"/>
    <n v="35.125"/>
    <n v="34.34375"/>
    <x v="1727"/>
    <n v="21.804562000000001"/>
    <n v="41350000"/>
  </r>
  <r>
    <x v="3232"/>
    <n v="35.09375"/>
    <n v="35.953125"/>
    <n v="34.84375"/>
    <x v="1728"/>
    <n v="22.611771000000001"/>
    <n v="34940000"/>
  </r>
  <r>
    <x v="3233"/>
    <n v="35.90625"/>
    <n v="36"/>
    <n v="35.375"/>
    <x v="1729"/>
    <n v="22.326298000000001"/>
    <n v="13832400"/>
  </r>
  <r>
    <x v="3234"/>
    <n v="35.75"/>
    <n v="35.90625"/>
    <n v="35.375"/>
    <x v="1730"/>
    <n v="22.424735999999999"/>
    <n v="23636400"/>
  </r>
  <r>
    <x v="3235"/>
    <n v="35.640625"/>
    <n v="35.640625"/>
    <n v="34.90625"/>
    <x v="1731"/>
    <n v="22.129417"/>
    <n v="29651600"/>
  </r>
  <r>
    <x v="3236"/>
    <n v="35.21875"/>
    <n v="35.839843999999999"/>
    <n v="34.71875"/>
    <x v="1732"/>
    <n v="21.893162"/>
    <n v="34942800"/>
  </r>
  <r>
    <x v="3237"/>
    <n v="34.796875"/>
    <n v="35"/>
    <n v="34.5"/>
    <x v="1733"/>
    <n v="21.843945999999999"/>
    <n v="23834400"/>
  </r>
  <r>
    <x v="3238"/>
    <n v="34.902343999999999"/>
    <n v="36.3125"/>
    <n v="34.84375"/>
    <x v="1734"/>
    <n v="22.208168000000001"/>
    <n v="69305200"/>
  </r>
  <r>
    <x v="3239"/>
    <n v="35.46875"/>
    <n v="37"/>
    <n v="35.359375"/>
    <x v="1735"/>
    <n v="23.074442000000001"/>
    <n v="64281600"/>
  </r>
  <r>
    <x v="3240"/>
    <n v="37.375"/>
    <n v="37.875"/>
    <n v="36.6875"/>
    <x v="1736"/>
    <n v="23.822600999999999"/>
    <n v="69064800"/>
  </r>
  <r>
    <x v="3241"/>
    <n v="37.4375"/>
    <n v="37.65625"/>
    <n v="37.0625"/>
    <x v="1737"/>
    <n v="23.704460000000001"/>
    <n v="51150400"/>
  </r>
  <r>
    <x v="3242"/>
    <n v="38.046875"/>
    <n v="38.125"/>
    <n v="36.75"/>
    <x v="1738"/>
    <n v="23.606024000000001"/>
    <n v="50244800"/>
  </r>
  <r>
    <x v="3243"/>
    <n v="37.71875"/>
    <n v="37.734375"/>
    <n v="36.0625"/>
    <x v="1739"/>
    <n v="23.231949"/>
    <n v="46463200"/>
  </r>
  <r>
    <x v="3244"/>
    <n v="37.03125"/>
    <n v="37.03125"/>
    <n v="35.25"/>
    <x v="1740"/>
    <n v="22.395202999999999"/>
    <n v="57907200"/>
  </r>
  <r>
    <x v="3245"/>
    <n v="34"/>
    <n v="36.9375"/>
    <n v="34"/>
    <x v="1741"/>
    <n v="22.651147999999999"/>
    <n v="75346000"/>
  </r>
  <r>
    <x v="3246"/>
    <n v="36.3125"/>
    <n v="36.390625"/>
    <n v="35.375"/>
    <x v="1729"/>
    <n v="22.326298000000001"/>
    <n v="59214000"/>
  </r>
  <r>
    <x v="3247"/>
    <n v="35.734375"/>
    <n v="37.5"/>
    <n v="35.34375"/>
    <x v="1742"/>
    <n v="23.586331999999999"/>
    <n v="59344000"/>
  </r>
  <r>
    <x v="3248"/>
    <n v="37.84375"/>
    <n v="39.59375"/>
    <n v="37.71875"/>
    <x v="1743"/>
    <n v="24.511671"/>
    <n v="102741600"/>
  </r>
  <r>
    <x v="3249"/>
    <n v="41.734375"/>
    <n v="41.9375"/>
    <n v="40.621093999999999"/>
    <x v="1744"/>
    <n v="25.614197000000001"/>
    <n v="125481200"/>
  </r>
  <r>
    <x v="3250"/>
    <n v="40.4375"/>
    <n v="40.828125"/>
    <n v="39.4375"/>
    <x v="1745"/>
    <n v="24.934963"/>
    <n v="80077200"/>
  </r>
  <r>
    <x v="3251"/>
    <n v="38.90625"/>
    <n v="40.058593999999999"/>
    <n v="38.8125"/>
    <x v="1746"/>
    <n v="24.610111"/>
    <n v="82160000"/>
  </r>
  <r>
    <x v="3252"/>
    <n v="40.421875"/>
    <n v="40.828125"/>
    <n v="39.78125"/>
    <x v="1747"/>
    <n v="25.496079999999999"/>
    <n v="103076400"/>
  </r>
  <r>
    <x v="3253"/>
    <n v="41.375"/>
    <n v="42.9375"/>
    <n v="41.125"/>
    <x v="1748"/>
    <n v="27.021899999999999"/>
    <n v="120203200"/>
  </r>
  <r>
    <x v="3254"/>
    <n v="43.125"/>
    <n v="43.609375"/>
    <n v="42.125"/>
    <x v="1749"/>
    <n v="26.559235000000001"/>
    <n v="98048000"/>
  </r>
  <r>
    <x v="3255"/>
    <n v="42.9375"/>
    <n v="43.515625"/>
    <n v="42.453125"/>
    <x v="1750"/>
    <n v="27.405821"/>
    <n v="78838400"/>
  </r>
  <r>
    <x v="3256"/>
    <n v="43.6875"/>
    <n v="43.78125"/>
    <n v="42.71875"/>
    <x v="1751"/>
    <n v="27.563331999999999"/>
    <n v="79571600"/>
  </r>
  <r>
    <x v="3257"/>
    <n v="43.859375"/>
    <n v="43.984375"/>
    <n v="42.703125"/>
    <x v="1752"/>
    <n v="27.238468000000001"/>
    <n v="81729200"/>
  </r>
  <r>
    <x v="3258"/>
    <n v="43.125"/>
    <n v="43.140625"/>
    <n v="41.5625"/>
    <x v="1753"/>
    <n v="26.401720000000001"/>
    <n v="91965600"/>
  </r>
  <r>
    <x v="3259"/>
    <n v="41.59375"/>
    <n v="42.46875"/>
    <n v="41.5"/>
    <x v="1754"/>
    <n v="26.273754"/>
    <n v="73749200"/>
  </r>
  <r>
    <x v="3260"/>
    <n v="42.03125"/>
    <n v="42.09375"/>
    <n v="39.71875"/>
    <x v="1755"/>
    <n v="25.053094999999999"/>
    <n v="89151600"/>
  </r>
  <r>
    <x v="3261"/>
    <n v="40.0625"/>
    <n v="40.40625"/>
    <n v="38.71875"/>
    <x v="1756"/>
    <n v="25.200755999999998"/>
    <n v="127945200"/>
  </r>
  <r>
    <x v="3262"/>
    <n v="40.640625"/>
    <n v="41.390625"/>
    <n v="40.40625"/>
    <x v="1757"/>
    <n v="26.027666"/>
    <n v="109866800"/>
  </r>
  <r>
    <x v="3263"/>
    <n v="41.234375"/>
    <n v="41.6875"/>
    <n v="39.9375"/>
    <x v="1758"/>
    <n v="25.210599999999999"/>
    <n v="77293600"/>
  </r>
  <r>
    <x v="3264"/>
    <n v="39.96875"/>
    <n v="41.09375"/>
    <n v="39.65625"/>
    <x v="1759"/>
    <n v="25.299199999999999"/>
    <n v="73694000"/>
  </r>
  <r>
    <x v="3265"/>
    <n v="40.6875"/>
    <n v="40.96875"/>
    <n v="40.09375"/>
    <x v="1760"/>
    <n v="25.633894000000002"/>
    <n v="60366000"/>
  </r>
  <r>
    <x v="3266"/>
    <n v="40.421875"/>
    <n v="40.921875"/>
    <n v="39.28125"/>
    <x v="1761"/>
    <n v="24.846373"/>
    <n v="62930400"/>
  </r>
  <r>
    <x v="3267"/>
    <n v="39.9375"/>
    <n v="39.96875"/>
    <n v="38.640625"/>
    <x v="1746"/>
    <n v="24.610111"/>
    <n v="73666800"/>
  </r>
  <r>
    <x v="3268"/>
    <n v="38.234375"/>
    <n v="38.53125"/>
    <n v="37.125"/>
    <x v="1762"/>
    <n v="23.625699999999998"/>
    <n v="101215600"/>
  </r>
  <r>
    <x v="3269"/>
    <n v="37.734375"/>
    <n v="37.84375"/>
    <n v="35.996093999999999"/>
    <x v="1763"/>
    <n v="22.956316000000001"/>
    <n v="117035200"/>
  </r>
  <r>
    <x v="3270"/>
    <n v="36.859375"/>
    <n v="37.3125"/>
    <n v="36.4375"/>
    <x v="1764"/>
    <n v="23.271325999999998"/>
    <n v="73085600"/>
  </r>
  <r>
    <x v="3271"/>
    <n v="37.0625"/>
    <n v="37.25"/>
    <n v="36.1875"/>
    <x v="1765"/>
    <n v="23.438675"/>
    <n v="92514400"/>
  </r>
  <r>
    <x v="3272"/>
    <n v="38.234375"/>
    <n v="38.90625"/>
    <n v="37.625"/>
    <x v="1766"/>
    <n v="24.482137999999999"/>
    <n v="95106800"/>
  </r>
  <r>
    <x v="3273"/>
    <n v="39.109375"/>
    <n v="39.84375"/>
    <n v="38.1875"/>
    <x v="1767"/>
    <n v="24.078543"/>
    <n v="67696800"/>
  </r>
  <r>
    <x v="3274"/>
    <n v="38.09375"/>
    <n v="38.4375"/>
    <n v="37.40625"/>
    <x v="1768"/>
    <n v="24.176973"/>
    <n v="70817200"/>
  </r>
  <r>
    <x v="3275"/>
    <n v="38.09375"/>
    <n v="38.125"/>
    <n v="37.375"/>
    <x v="1769"/>
    <n v="23.645399000000001"/>
    <n v="59273200"/>
  </r>
  <r>
    <x v="3276"/>
    <n v="37.390625"/>
    <n v="38.140625"/>
    <n v="37.375"/>
    <x v="1770"/>
    <n v="23.901351999999999"/>
    <n v="58332000"/>
  </r>
  <r>
    <x v="3277"/>
    <n v="37.96875"/>
    <n v="38.53125"/>
    <n v="36.90625"/>
    <x v="1771"/>
    <n v="23.399291999999999"/>
    <n v="58569600"/>
  </r>
  <r>
    <x v="3278"/>
    <n v="37.25"/>
    <n v="37.671875"/>
    <n v="36.765625"/>
    <x v="1772"/>
    <n v="23.566648000000001"/>
    <n v="76798400"/>
  </r>
  <r>
    <x v="3279"/>
    <n v="37.78125"/>
    <n v="38.375"/>
    <n v="37.03125"/>
    <x v="1773"/>
    <n v="23.980098999999999"/>
    <n v="61696400"/>
  </r>
  <r>
    <x v="3280"/>
    <n v="38.6875"/>
    <n v="38.84375"/>
    <n v="38.28125"/>
    <x v="1774"/>
    <n v="24.403395"/>
    <n v="47302800"/>
  </r>
  <r>
    <x v="3281"/>
    <n v="38.875"/>
    <n v="39.808593999999999"/>
    <n v="38.75"/>
    <x v="1775"/>
    <n v="25.043243"/>
    <n v="46726000"/>
  </r>
  <r>
    <x v="3282"/>
    <n v="39.96875"/>
    <n v="41.1875"/>
    <n v="39.9375"/>
    <x v="1776"/>
    <n v="25.486232999999999"/>
    <n v="90129600"/>
  </r>
  <r>
    <x v="3283"/>
    <n v="40.578125"/>
    <n v="40.625"/>
    <n v="39.796875"/>
    <x v="1777"/>
    <n v="25.41732"/>
    <n v="53114800"/>
  </r>
  <r>
    <x v="3284"/>
    <n v="40.25"/>
    <n v="41.140625"/>
    <n v="39.828125"/>
    <x v="1778"/>
    <n v="25.427171999999999"/>
    <n v="62948400"/>
  </r>
  <r>
    <x v="3285"/>
    <n v="40.65625"/>
    <n v="40.6875"/>
    <n v="39.203125"/>
    <x v="1779"/>
    <n v="25.230293"/>
    <n v="73395200"/>
  </r>
  <r>
    <x v="3286"/>
    <n v="40.140625"/>
    <n v="41.5"/>
    <n v="39.46875"/>
    <x v="1780"/>
    <n v="26.126093000000001"/>
    <n v="60609600"/>
  </r>
  <r>
    <x v="3287"/>
    <n v="41.375"/>
    <n v="42.5"/>
    <n v="41.0625"/>
    <x v="1781"/>
    <n v="26.628138"/>
    <n v="68554000"/>
  </r>
  <r>
    <x v="3288"/>
    <n v="42.265625"/>
    <n v="42.359375"/>
    <n v="41.6875"/>
    <x v="1782"/>
    <n v="26.322969000000001"/>
    <n v="44919600"/>
  </r>
  <r>
    <x v="3289"/>
    <n v="41.609375"/>
    <n v="43.140625"/>
    <n v="41.546875"/>
    <x v="1783"/>
    <n v="27.159727"/>
    <n v="56231200"/>
  </r>
  <r>
    <x v="3290"/>
    <n v="43.46875"/>
    <n v="43.53125"/>
    <n v="42.46875"/>
    <x v="1784"/>
    <n v="26.962852000000002"/>
    <n v="91980400"/>
  </r>
  <r>
    <x v="3291"/>
    <n v="43.234375"/>
    <n v="43.734375"/>
    <n v="43"/>
    <x v="1785"/>
    <n v="27.218771"/>
    <n v="55719200"/>
  </r>
  <r>
    <x v="3292"/>
    <n v="43.171875"/>
    <n v="43.53125"/>
    <n v="41.5625"/>
    <x v="1786"/>
    <n v="26.234373000000001"/>
    <n v="69581200"/>
  </r>
  <r>
    <x v="3293"/>
    <n v="41.75"/>
    <n v="42.953125"/>
    <n v="40.78125"/>
    <x v="1787"/>
    <n v="26.972681000000001"/>
    <n v="82634400"/>
  </r>
  <r>
    <x v="3294"/>
    <n v="43.265625"/>
    <n v="45.015625"/>
    <n v="43.125"/>
    <x v="1788"/>
    <n v="28.341009"/>
    <n v="109447600"/>
  </r>
  <r>
    <x v="3295"/>
    <n v="44.734375"/>
    <n v="45.09375"/>
    <n v="43.9375"/>
    <x v="1789"/>
    <n v="28.055516999999998"/>
    <n v="94687600"/>
  </r>
  <r>
    <x v="3296"/>
    <n v="45.0625"/>
    <n v="46.3125"/>
    <n v="43.9375"/>
    <x v="1790"/>
    <n v="29.099003"/>
    <n v="79777000"/>
  </r>
  <r>
    <x v="3297"/>
    <n v="46.6875"/>
    <n v="46.75"/>
    <n v="46.125"/>
    <x v="1791"/>
    <n v="29.295895000000002"/>
    <n v="67502400"/>
  </r>
  <r>
    <x v="3298"/>
    <n v="47.25"/>
    <n v="47.3125"/>
    <n v="44.5625"/>
    <x v="1792"/>
    <n v="28.232718999999999"/>
    <n v="58752600"/>
  </r>
  <r>
    <x v="3299"/>
    <n v="45.625"/>
    <n v="46.4375"/>
    <n v="45.132812999999999"/>
    <x v="1793"/>
    <n v="29.197437000000001"/>
    <n v="41106000"/>
  </r>
  <r>
    <x v="3300"/>
    <n v="47.15625"/>
    <n v="47.507812999999999"/>
    <n v="46.75"/>
    <x v="1794"/>
    <n v="29.906203999999999"/>
    <n v="39848600"/>
  </r>
  <r>
    <x v="3301"/>
    <n v="47.59375"/>
    <n v="47.8125"/>
    <n v="46.625"/>
    <x v="1795"/>
    <n v="29.630593999999999"/>
    <n v="39674800"/>
  </r>
  <r>
    <x v="3302"/>
    <n v="47.4375"/>
    <n v="47.5"/>
    <n v="45.625"/>
    <x v="1796"/>
    <n v="29.394321000000001"/>
    <n v="46910200"/>
  </r>
  <r>
    <x v="3303"/>
    <n v="46.625"/>
    <n v="47.3125"/>
    <n v="45.5"/>
    <x v="1797"/>
    <n v="29.788087999999998"/>
    <n v="38637000"/>
  </r>
  <r>
    <x v="3304"/>
    <n v="47.125"/>
    <n v="47.5"/>
    <n v="46.5"/>
    <x v="1798"/>
    <n v="29.689654999999998"/>
    <n v="31816800"/>
  </r>
  <r>
    <x v="3305"/>
    <n v="45.8125"/>
    <n v="46.8125"/>
    <n v="45.6875"/>
    <x v="1791"/>
    <n v="29.295895000000002"/>
    <n v="37858800"/>
  </r>
  <r>
    <x v="3306"/>
    <n v="46.5625"/>
    <n v="46.5625"/>
    <n v="44.59375"/>
    <x v="1799"/>
    <n v="28.390225999999998"/>
    <n v="46746800"/>
  </r>
  <r>
    <x v="3307"/>
    <n v="45.40625"/>
    <n v="45.5625"/>
    <n v="42.9375"/>
    <x v="1800"/>
    <n v="27.051434"/>
    <n v="52944000"/>
  </r>
  <r>
    <x v="3308"/>
    <n v="43.65625"/>
    <n v="44.9375"/>
    <n v="41.9375"/>
    <x v="1801"/>
    <n v="27.996459999999999"/>
    <n v="72594600"/>
  </r>
  <r>
    <x v="3309"/>
    <n v="44.53125"/>
    <n v="44.5625"/>
    <n v="42.9375"/>
    <x v="1802"/>
    <n v="27.287697000000001"/>
    <n v="44774000"/>
  </r>
  <r>
    <x v="3310"/>
    <n v="43.4375"/>
    <n v="44.0625"/>
    <n v="40.1875"/>
    <x v="1803"/>
    <n v="25.515761999999999"/>
    <n v="75389000"/>
  </r>
  <r>
    <x v="3311"/>
    <n v="41.125"/>
    <n v="42"/>
    <n v="40"/>
    <x v="1804"/>
    <n v="26.185161999999998"/>
    <n v="108459400"/>
  </r>
  <r>
    <x v="3312"/>
    <n v="41.0625"/>
    <n v="41.25"/>
    <n v="40"/>
    <x v="1805"/>
    <n v="25.830776"/>
    <n v="92732800"/>
  </r>
  <r>
    <x v="3313"/>
    <n v="42.5"/>
    <n v="42.625"/>
    <n v="41.6875"/>
    <x v="1806"/>
    <n v="26.756119000000002"/>
    <n v="55096400"/>
  </r>
  <r>
    <x v="3314"/>
    <n v="42.5"/>
    <n v="43.5"/>
    <n v="41.5"/>
    <x v="1807"/>
    <n v="27.090803000000001"/>
    <n v="56592000"/>
  </r>
  <r>
    <x v="3315"/>
    <n v="43.59375"/>
    <n v="44.46875"/>
    <n v="43.375"/>
    <x v="1808"/>
    <n v="27.720832999999999"/>
    <n v="48349800"/>
  </r>
  <r>
    <x v="3316"/>
    <n v="44.375"/>
    <n v="44.375"/>
    <n v="41.96875"/>
    <x v="1809"/>
    <n v="26.460791"/>
    <n v="58665800"/>
  </r>
  <r>
    <x v="3317"/>
    <n v="42.65625"/>
    <n v="43.25"/>
    <n v="40.859375"/>
    <x v="1810"/>
    <n v="25.870152999999998"/>
    <n v="55963400"/>
  </r>
  <r>
    <x v="3318"/>
    <n v="41.1875"/>
    <n v="41.84375"/>
    <n v="40.203125"/>
    <x v="1811"/>
    <n v="25.850466000000001"/>
    <n v="60880600"/>
  </r>
  <r>
    <x v="3319"/>
    <n v="41.375"/>
    <n v="41.875"/>
    <n v="39.9375"/>
    <x v="1744"/>
    <n v="25.614197000000001"/>
    <n v="58558600"/>
  </r>
  <r>
    <x v="3320"/>
    <n v="40.71875"/>
    <n v="40.75"/>
    <n v="39.28125"/>
    <x v="1812"/>
    <n v="25.161375"/>
    <n v="67180000"/>
  </r>
  <r>
    <x v="3321"/>
    <n v="40.25"/>
    <n v="40.90625"/>
    <n v="38.875"/>
    <x v="1813"/>
    <n v="24.590423999999999"/>
    <n v="66502200"/>
  </r>
  <r>
    <x v="3322"/>
    <n v="39.5625"/>
    <n v="39.9375"/>
    <n v="38.21875"/>
    <x v="1814"/>
    <n v="24.925118999999999"/>
    <n v="67028200"/>
  </r>
  <r>
    <x v="3323"/>
    <n v="40.34375"/>
    <n v="40.5625"/>
    <n v="38.75"/>
    <x v="1815"/>
    <n v="24.55105"/>
    <n v="74021000"/>
  </r>
  <r>
    <x v="3324"/>
    <n v="39.8125"/>
    <n v="40.1875"/>
    <n v="39"/>
    <x v="1816"/>
    <n v="24.905436000000002"/>
    <n v="48011600"/>
  </r>
  <r>
    <x v="3325"/>
    <n v="39.9375"/>
    <n v="40.25"/>
    <n v="39.125"/>
    <x v="1817"/>
    <n v="25.102325"/>
    <n v="46218000"/>
  </r>
  <r>
    <x v="3326"/>
    <n v="40.375"/>
    <n v="40.507812999999999"/>
    <n v="39.71875"/>
    <x v="1812"/>
    <n v="25.161375"/>
    <n v="42786200"/>
  </r>
  <r>
    <x v="3327"/>
    <n v="40.375"/>
    <n v="40.5"/>
    <n v="39.625"/>
    <x v="1818"/>
    <n v="25.358259"/>
    <n v="60142600"/>
  </r>
  <r>
    <x v="3328"/>
    <n v="40.5625"/>
    <n v="40.875"/>
    <n v="39.5625"/>
    <x v="1814"/>
    <n v="24.925118999999999"/>
    <n v="51737200"/>
  </r>
  <r>
    <x v="3329"/>
    <n v="39.4375"/>
    <n v="39.96875"/>
    <n v="38.3125"/>
    <x v="1819"/>
    <n v="24.216346999999999"/>
    <n v="84401000"/>
  </r>
  <r>
    <x v="3330"/>
    <n v="38.6875"/>
    <n v="39.78125"/>
    <n v="38.5"/>
    <x v="1814"/>
    <n v="24.925118999999999"/>
    <n v="66850200"/>
  </r>
  <r>
    <x v="3331"/>
    <n v="39.90625"/>
    <n v="40.125"/>
    <n v="38.96875"/>
    <x v="1820"/>
    <n v="24.787312"/>
    <n v="63858400"/>
  </r>
  <r>
    <x v="3332"/>
    <n v="39.9375"/>
    <n v="39.9375"/>
    <n v="38.625"/>
    <x v="1821"/>
    <n v="24.984200000000001"/>
    <n v="46510800"/>
  </r>
  <r>
    <x v="3333"/>
    <n v="39.78125"/>
    <n v="40"/>
    <n v="39.1875"/>
    <x v="1822"/>
    <n v="24.708542000000001"/>
    <n v="42386200"/>
  </r>
  <r>
    <x v="3334"/>
    <n v="39.25"/>
    <n v="39.5"/>
    <n v="38.5"/>
    <x v="1823"/>
    <n v="24.432917"/>
    <n v="56568800"/>
  </r>
  <r>
    <x v="3335"/>
    <n v="38.9375"/>
    <n v="38.9375"/>
    <n v="38.03125"/>
    <x v="1824"/>
    <n v="24.334482000000001"/>
    <n v="38990000"/>
  </r>
  <r>
    <x v="3336"/>
    <n v="38.375"/>
    <n v="39.625"/>
    <n v="38.0625"/>
    <x v="1825"/>
    <n v="24.019466000000001"/>
    <n v="50791600"/>
  </r>
  <r>
    <x v="3337"/>
    <n v="38.59375"/>
    <n v="39.25"/>
    <n v="37.75"/>
    <x v="1826"/>
    <n v="24.728242999999999"/>
    <n v="52022800"/>
  </r>
  <r>
    <x v="3338"/>
    <n v="39.125"/>
    <n v="39.71875"/>
    <n v="38.75"/>
    <x v="1827"/>
    <n v="24.688858"/>
    <n v="56702200"/>
  </r>
  <r>
    <x v="3339"/>
    <n v="39.375"/>
    <n v="40.4375"/>
    <n v="39.0625"/>
    <x v="1777"/>
    <n v="25.41732"/>
    <n v="41548000"/>
  </r>
  <r>
    <x v="3340"/>
    <n v="40.3125"/>
    <n v="40.375"/>
    <n v="39.21875"/>
    <x v="1826"/>
    <n v="24.728242999999999"/>
    <n v="36046400"/>
  </r>
  <r>
    <x v="3341"/>
    <n v="39.03125"/>
    <n v="39.3125"/>
    <n v="38.125"/>
    <x v="1822"/>
    <n v="24.708542000000001"/>
    <n v="42812600"/>
  </r>
  <r>
    <x v="3342"/>
    <n v="39.1875"/>
    <n v="39.46875"/>
    <n v="38.0625"/>
    <x v="1828"/>
    <n v="24.058851000000001"/>
    <n v="32934400"/>
  </r>
  <r>
    <x v="3343"/>
    <n v="38.46875"/>
    <n v="39.84375"/>
    <n v="38.375"/>
    <x v="1829"/>
    <n v="25.062943000000001"/>
    <n v="35668200"/>
  </r>
  <r>
    <x v="3344"/>
    <n v="39.96875"/>
    <n v="40.53125"/>
    <n v="39.59375"/>
    <x v="1830"/>
    <n v="25.279496999999999"/>
    <n v="32392200"/>
  </r>
  <r>
    <x v="3345"/>
    <n v="39.9375"/>
    <n v="41.0625"/>
    <n v="39.5"/>
    <x v="1831"/>
    <n v="25.003879999999999"/>
    <n v="41516400"/>
  </r>
  <r>
    <x v="3346"/>
    <n v="40.0625"/>
    <n v="41.3125"/>
    <n v="40"/>
    <x v="1832"/>
    <n v="25.929214000000002"/>
    <n v="53310800"/>
  </r>
  <r>
    <x v="3347"/>
    <n v="40.9375"/>
    <n v="41.15625"/>
    <n v="39.53125"/>
    <x v="1812"/>
    <n v="25.161375"/>
    <n v="35277400"/>
  </r>
  <r>
    <x v="3348"/>
    <n v="40"/>
    <n v="40.25"/>
    <n v="38.78125"/>
    <x v="1746"/>
    <n v="24.610111"/>
    <n v="34543000"/>
  </r>
  <r>
    <x v="3349"/>
    <n v="39.375"/>
    <n v="39.84375"/>
    <n v="38.71875"/>
    <x v="1823"/>
    <n v="24.432917"/>
    <n v="28369800"/>
  </r>
  <r>
    <x v="3350"/>
    <n v="39.03125"/>
    <n v="39.4375"/>
    <n v="38.34375"/>
    <x v="1833"/>
    <n v="24.472290000000001"/>
    <n v="36981000"/>
  </r>
  <r>
    <x v="3351"/>
    <n v="39.53125"/>
    <n v="40.8125"/>
    <n v="39.46875"/>
    <x v="1803"/>
    <n v="25.515761999999999"/>
    <n v="48325200"/>
  </r>
  <r>
    <x v="3352"/>
    <n v="40.34375"/>
    <n v="41.5"/>
    <n v="40.25"/>
    <x v="1834"/>
    <n v="26.106407000000001"/>
    <n v="44475200"/>
  </r>
  <r>
    <x v="3353"/>
    <n v="41.15625"/>
    <n v="42.5"/>
    <n v="41.0625"/>
    <x v="1835"/>
    <n v="26.775801000000001"/>
    <n v="69116200"/>
  </r>
  <r>
    <x v="3354"/>
    <n v="42.4375"/>
    <n v="44.5"/>
    <n v="42.4375"/>
    <x v="1836"/>
    <n v="28.016158999999998"/>
    <n v="56194400"/>
  </r>
  <r>
    <x v="3355"/>
    <n v="44.21875"/>
    <n v="44.21875"/>
    <n v="43.125"/>
    <x v="1837"/>
    <n v="27.248315999999999"/>
    <n v="38751000"/>
  </r>
  <r>
    <x v="3356"/>
    <n v="42.96875"/>
    <n v="43.6875"/>
    <n v="42.53125"/>
    <x v="1807"/>
    <n v="27.090803000000001"/>
    <n v="33942000"/>
  </r>
  <r>
    <x v="3357"/>
    <n v="42.875"/>
    <n v="43.125"/>
    <n v="42"/>
    <x v="1838"/>
    <n v="26.657675000000001"/>
    <n v="33559000"/>
  </r>
  <r>
    <x v="3358"/>
    <n v="42.6875"/>
    <n v="43.21875"/>
    <n v="42.1875"/>
    <x v="1806"/>
    <n v="26.756119000000002"/>
    <n v="24933000"/>
  </r>
  <r>
    <x v="3359"/>
    <n v="42.75"/>
    <n v="43.40625"/>
    <n v="42.46875"/>
    <x v="1839"/>
    <n v="27.327061"/>
    <n v="31701000"/>
  </r>
  <r>
    <x v="3360"/>
    <n v="43.34375"/>
    <n v="44.03125"/>
    <n v="43"/>
    <x v="1808"/>
    <n v="27.720832999999999"/>
    <n v="38973200"/>
  </r>
  <r>
    <x v="3361"/>
    <n v="43.875"/>
    <n v="45.125"/>
    <n v="43.375"/>
    <x v="1840"/>
    <n v="28.409915999999999"/>
    <n v="57610200"/>
  </r>
  <r>
    <x v="3362"/>
    <n v="44.9375"/>
    <n v="45.75"/>
    <n v="44.1875"/>
    <x v="1841"/>
    <n v="28.724931999999999"/>
    <n v="47737800"/>
  </r>
  <r>
    <x v="3363"/>
    <n v="45.4375"/>
    <n v="46.0625"/>
    <n v="45.15625"/>
    <x v="1842"/>
    <n v="28.980867"/>
    <n v="32094800"/>
  </r>
  <r>
    <x v="3364"/>
    <n v="46.125"/>
    <n v="46.46875"/>
    <n v="44.625"/>
    <x v="1843"/>
    <n v="28.213031999999998"/>
    <n v="45419400"/>
  </r>
  <r>
    <x v="3365"/>
    <n v="45.03125"/>
    <n v="46.15625"/>
    <n v="44.9375"/>
    <x v="1844"/>
    <n v="29.079315000000001"/>
    <n v="33834600"/>
  </r>
  <r>
    <x v="3366"/>
    <n v="45.90625"/>
    <n v="46.5"/>
    <n v="45.34375"/>
    <x v="1845"/>
    <n v="29.158064"/>
    <n v="37790400"/>
  </r>
  <r>
    <x v="3367"/>
    <n v="46.1875"/>
    <n v="46.65625"/>
    <n v="46.125"/>
    <x v="1846"/>
    <n v="29.374641"/>
    <n v="33884200"/>
  </r>
  <r>
    <x v="3368"/>
    <n v="46.59375"/>
    <n v="47.375"/>
    <n v="46.1875"/>
    <x v="1847"/>
    <n v="29.669962000000002"/>
    <n v="43847800"/>
  </r>
  <r>
    <x v="3369"/>
    <n v="46.5625"/>
    <n v="47.03125"/>
    <n v="46.40625"/>
    <x v="1848"/>
    <n v="29.492754000000001"/>
    <n v="30845000"/>
  </r>
  <r>
    <x v="3370"/>
    <n v="46.875"/>
    <n v="47.5"/>
    <n v="46.25"/>
    <x v="1794"/>
    <n v="29.906203999999999"/>
    <n v="37985200"/>
  </r>
  <r>
    <x v="3371"/>
    <n v="47.5"/>
    <n v="47.625"/>
    <n v="46.875"/>
    <x v="1849"/>
    <n v="29.729019000000001"/>
    <n v="40926200"/>
  </r>
  <r>
    <x v="3372"/>
    <n v="47.75"/>
    <n v="49.9375"/>
    <n v="47.5"/>
    <x v="1850"/>
    <n v="31.32375"/>
    <n v="115369800"/>
  </r>
  <r>
    <x v="3373"/>
    <n v="50"/>
    <n v="50.375"/>
    <n v="48.90625"/>
    <x v="1851"/>
    <n v="30.989056000000001"/>
    <n v="81181600"/>
  </r>
  <r>
    <x v="3374"/>
    <n v="48.21875"/>
    <n v="48.375"/>
    <n v="46.15625"/>
    <x v="1796"/>
    <n v="29.394321000000001"/>
    <n v="92287400"/>
  </r>
  <r>
    <x v="3375"/>
    <n v="46.8125"/>
    <n v="47.65625"/>
    <n v="46.5"/>
    <x v="1852"/>
    <n v="29.827456999999999"/>
    <n v="54050800"/>
  </r>
  <r>
    <x v="3376"/>
    <n v="47.1875"/>
    <n v="47.25"/>
    <n v="45"/>
    <x v="1853"/>
    <n v="28.685545000000001"/>
    <n v="60904200"/>
  </r>
  <r>
    <x v="3377"/>
    <n v="45.78125"/>
    <n v="45.875"/>
    <n v="44.84375"/>
    <x v="1854"/>
    <n v="28.429601999999999"/>
    <n v="68833200"/>
  </r>
  <r>
    <x v="3378"/>
    <n v="44.4375"/>
    <n v="44.90625"/>
    <n v="43.8125"/>
    <x v="1855"/>
    <n v="27.602692000000001"/>
    <n v="50885000"/>
  </r>
  <r>
    <x v="3379"/>
    <n v="44.40625"/>
    <n v="44.875"/>
    <n v="44"/>
    <x v="1856"/>
    <n v="27.976777999999999"/>
    <n v="65513000"/>
  </r>
  <r>
    <x v="3380"/>
    <n v="44.59375"/>
    <n v="45.25"/>
    <n v="44.1875"/>
    <x v="1857"/>
    <n v="28.350845"/>
    <n v="62215200"/>
  </r>
  <r>
    <x v="3381"/>
    <n v="44.34375"/>
    <n v="44.40625"/>
    <n v="43.15625"/>
    <x v="1858"/>
    <n v="27.386139"/>
    <n v="57968200"/>
  </r>
  <r>
    <x v="3382"/>
    <n v="43.8125"/>
    <n v="44.3125"/>
    <n v="42.75"/>
    <x v="1859"/>
    <n v="27.031744"/>
    <n v="51127400"/>
  </r>
  <r>
    <x v="3383"/>
    <n v="42.84375"/>
    <n v="43.46875"/>
    <n v="42.1875"/>
    <x v="1860"/>
    <n v="26.716750999999999"/>
    <n v="48050600"/>
  </r>
  <r>
    <x v="3384"/>
    <n v="42.9375"/>
    <n v="43.03125"/>
    <n v="42.1875"/>
    <x v="1861"/>
    <n v="26.697047999999999"/>
    <n v="55051200"/>
  </r>
  <r>
    <x v="3385"/>
    <n v="42.5625"/>
    <n v="43.59375"/>
    <n v="42.375"/>
    <x v="1806"/>
    <n v="26.756119000000002"/>
    <n v="75573400"/>
  </r>
  <r>
    <x v="3386"/>
    <n v="42.6875"/>
    <n v="43.1875"/>
    <n v="42.375"/>
    <x v="1862"/>
    <n v="27.012062"/>
    <n v="76634000"/>
  </r>
  <r>
    <x v="3387"/>
    <n v="43.03125"/>
    <n v="43.21875"/>
    <n v="42.46875"/>
    <x v="1863"/>
    <n v="26.815178"/>
    <n v="67205800"/>
  </r>
  <r>
    <x v="3388"/>
    <n v="42.8125"/>
    <n v="42.90625"/>
    <n v="41.84375"/>
    <x v="1753"/>
    <n v="26.401720000000001"/>
    <n v="39333600"/>
  </r>
  <r>
    <x v="3389"/>
    <n v="41.78125"/>
    <n v="42.03125"/>
    <n v="40.8125"/>
    <x v="1780"/>
    <n v="26.126093000000001"/>
    <n v="62743000"/>
  </r>
  <r>
    <x v="3390"/>
    <n v="42"/>
    <n v="42.34375"/>
    <n v="41.15625"/>
    <x v="1864"/>
    <n v="26.519848"/>
    <n v="66105200"/>
  </r>
  <r>
    <x v="3391"/>
    <n v="41.96875"/>
    <n v="42.09375"/>
    <n v="40.8125"/>
    <x v="1865"/>
    <n v="25.752030999999999"/>
    <n v="61062000"/>
  </r>
  <r>
    <x v="3392"/>
    <n v="41.46875"/>
    <n v="42.8125"/>
    <n v="41.375"/>
    <x v="1866"/>
    <n v="26.677371999999998"/>
    <n v="65099800"/>
  </r>
  <r>
    <x v="3393"/>
    <n v="42.53125"/>
    <n v="42.945312999999999"/>
    <n v="41.15625"/>
    <x v="1749"/>
    <n v="26.559235000000001"/>
    <n v="57321800"/>
  </r>
  <r>
    <x v="3394"/>
    <n v="42.71875"/>
    <n v="42.75"/>
    <n v="41.46875"/>
    <x v="1867"/>
    <n v="26.637986999999999"/>
    <n v="51749000"/>
  </r>
  <r>
    <x v="3395"/>
    <n v="42.21875"/>
    <n v="43.09375"/>
    <n v="42.03125"/>
    <x v="1835"/>
    <n v="26.775801000000001"/>
    <n v="58361200"/>
  </r>
  <r>
    <x v="3396"/>
    <n v="42.28125"/>
    <n v="42.5625"/>
    <n v="41.5625"/>
    <x v="1753"/>
    <n v="26.401720000000001"/>
    <n v="71478200"/>
  </r>
  <r>
    <x v="3397"/>
    <n v="42"/>
    <n v="42.390625"/>
    <n v="41.53125"/>
    <x v="1868"/>
    <n v="26.263909999999999"/>
    <n v="46072800"/>
  </r>
  <r>
    <x v="3398"/>
    <n v="42.15625"/>
    <n v="43.3125"/>
    <n v="41.9375"/>
    <x v="1869"/>
    <n v="27.228617"/>
    <n v="60447000"/>
  </r>
  <r>
    <x v="3399"/>
    <n v="43.53125"/>
    <n v="46.75"/>
    <n v="43.53125"/>
    <x v="1870"/>
    <n v="29.039947999999999"/>
    <n v="120450000"/>
  </r>
  <r>
    <x v="3400"/>
    <n v="46.8125"/>
    <n v="48"/>
    <n v="46.59375"/>
    <x v="1871"/>
    <n v="30.024342999999998"/>
    <n v="81877600"/>
  </r>
  <r>
    <x v="3401"/>
    <n v="47.6875"/>
    <n v="48.1875"/>
    <n v="46.84375"/>
    <x v="1872"/>
    <n v="29.807770000000001"/>
    <n v="61246000"/>
  </r>
  <r>
    <x v="3402"/>
    <n v="47.53125"/>
    <n v="47.5625"/>
    <n v="46.1875"/>
    <x v="1846"/>
    <n v="29.374641"/>
    <n v="41948400"/>
  </r>
  <r>
    <x v="3403"/>
    <n v="46.4375"/>
    <n v="46.71875"/>
    <n v="45.78125"/>
    <x v="1873"/>
    <n v="29.059623999999999"/>
    <n v="33300800"/>
  </r>
  <r>
    <x v="3404"/>
    <n v="45.90625"/>
    <n v="46.5625"/>
    <n v="45.0625"/>
    <x v="1845"/>
    <n v="29.158064"/>
    <n v="46882800"/>
  </r>
  <r>
    <x v="3405"/>
    <n v="46.15625"/>
    <n v="46.71875"/>
    <n v="45.8125"/>
    <x v="1790"/>
    <n v="29.099003"/>
    <n v="36607200"/>
  </r>
  <r>
    <x v="3406"/>
    <n v="45.75"/>
    <n v="46.28125"/>
    <n v="45.34375"/>
    <x v="1874"/>
    <n v="28.921810000000001"/>
    <n v="33340800"/>
  </r>
  <r>
    <x v="3407"/>
    <n v="46.875"/>
    <n v="48.21875"/>
    <n v="46.75"/>
    <x v="1875"/>
    <n v="30.201550000000001"/>
    <n v="52098000"/>
  </r>
  <r>
    <x v="3408"/>
    <n v="47.4375"/>
    <n v="48.34375"/>
    <n v="46.875"/>
    <x v="1798"/>
    <n v="29.689654999999998"/>
    <n v="47028000"/>
  </r>
  <r>
    <x v="3409"/>
    <n v="46.84375"/>
    <n v="47.34375"/>
    <n v="46.03125"/>
    <x v="1873"/>
    <n v="29.059623999999999"/>
    <n v="42568200"/>
  </r>
  <r>
    <x v="3410"/>
    <n v="46.21875"/>
    <n v="47.070312999999999"/>
    <n v="45.898437999999999"/>
    <x v="1795"/>
    <n v="29.630593999999999"/>
    <n v="38475200"/>
  </r>
  <r>
    <x v="3411"/>
    <n v="47.53125"/>
    <n v="47.65625"/>
    <n v="47"/>
    <x v="1876"/>
    <n v="29.925901"/>
    <n v="34455000"/>
  </r>
  <r>
    <x v="3412"/>
    <n v="47.25"/>
    <n v="47.40625"/>
    <n v="46.6875"/>
    <x v="1877"/>
    <n v="29.571518000000001"/>
    <n v="27870800"/>
  </r>
  <r>
    <x v="3413"/>
    <n v="46.84375"/>
    <n v="47.78125"/>
    <n v="46.8125"/>
    <x v="1878"/>
    <n v="29.945578000000001"/>
    <n v="40207800"/>
  </r>
  <r>
    <x v="3414"/>
    <n v="47.75"/>
    <n v="47.875"/>
    <n v="46.1875"/>
    <x v="1879"/>
    <n v="29.177759000000002"/>
    <n v="48413800"/>
  </r>
  <r>
    <x v="3415"/>
    <n v="46.4375"/>
    <n v="47.03125"/>
    <n v="45.3125"/>
    <x v="1880"/>
    <n v="29.610900999999998"/>
    <n v="45796000"/>
  </r>
  <r>
    <x v="3416"/>
    <n v="47.1875"/>
    <n v="48.25"/>
    <n v="46.90625"/>
    <x v="1881"/>
    <n v="30.378729"/>
    <n v="79773400"/>
  </r>
  <r>
    <x v="3417"/>
    <n v="48"/>
    <n v="48.9375"/>
    <n v="47.5"/>
    <x v="1882"/>
    <n v="30.733107"/>
    <n v="48601800"/>
  </r>
  <r>
    <x v="3418"/>
    <n v="48.28125"/>
    <n v="48.28125"/>
    <n v="47.0625"/>
    <x v="1872"/>
    <n v="29.807770000000001"/>
    <n v="47082800"/>
  </r>
  <r>
    <x v="3419"/>
    <n v="47.375"/>
    <n v="48.3125"/>
    <n v="46.84375"/>
    <x v="1883"/>
    <n v="30.260601000000001"/>
    <n v="48531600"/>
  </r>
  <r>
    <x v="3420"/>
    <n v="48.4375"/>
    <n v="48.4375"/>
    <n v="45.007812999999999"/>
    <x v="1841"/>
    <n v="28.724931999999999"/>
    <n v="71073600"/>
  </r>
  <r>
    <x v="3421"/>
    <n v="45.09375"/>
    <n v="45.6875"/>
    <n v="44.4375"/>
    <x v="1884"/>
    <n v="28.646170000000001"/>
    <n v="70277000"/>
  </r>
  <r>
    <x v="3422"/>
    <n v="46"/>
    <n v="46.46875"/>
    <n v="45.4375"/>
    <x v="1885"/>
    <n v="28.80368"/>
    <n v="34132200"/>
  </r>
  <r>
    <x v="3423"/>
    <n v="45.625"/>
    <n v="46.34375"/>
    <n v="44.53125"/>
    <x v="1886"/>
    <n v="29.020237000000002"/>
    <n v="46000600"/>
  </r>
  <r>
    <x v="3424"/>
    <n v="45.78125"/>
    <n v="46.0625"/>
    <n v="44.5625"/>
    <x v="1887"/>
    <n v="28.193352000000001"/>
    <n v="37484400"/>
  </r>
  <r>
    <x v="3425"/>
    <n v="45"/>
    <n v="45.84375"/>
    <n v="44.40625"/>
    <x v="1888"/>
    <n v="28.528041999999999"/>
    <n v="47455400"/>
  </r>
  <r>
    <x v="3426"/>
    <n v="45.09375"/>
    <n v="45.3125"/>
    <n v="44.15625"/>
    <x v="1889"/>
    <n v="28.345922000000002"/>
    <n v="44239000"/>
  </r>
  <r>
    <x v="3427"/>
    <n v="45.25"/>
    <n v="46.3125"/>
    <n v="45.125"/>
    <x v="1845"/>
    <n v="29.158064"/>
    <n v="29998000"/>
  </r>
  <r>
    <x v="3428"/>
    <n v="46.375"/>
    <n v="46.9375"/>
    <n v="44.75"/>
    <x v="1874"/>
    <n v="28.921810000000001"/>
    <n v="43397000"/>
  </r>
  <r>
    <x v="3429"/>
    <n v="46.15625"/>
    <n v="47"/>
    <n v="46.03125"/>
    <x v="1890"/>
    <n v="29.512447000000002"/>
    <n v="35500200"/>
  </r>
  <r>
    <x v="3430"/>
    <n v="46.84375"/>
    <n v="47.53125"/>
    <n v="46.34375"/>
    <x v="1891"/>
    <n v="29.532135"/>
    <n v="46036400"/>
  </r>
  <r>
    <x v="3431"/>
    <n v="46.75"/>
    <n v="47.59375"/>
    <n v="46.0625"/>
    <x v="1794"/>
    <n v="29.906203999999999"/>
    <n v="35697000"/>
  </r>
  <r>
    <x v="3432"/>
    <n v="47.3125"/>
    <n v="47.5"/>
    <n v="47.0625"/>
    <x v="1892"/>
    <n v="29.709322"/>
    <n v="19943800"/>
  </r>
  <r>
    <x v="3433"/>
    <n v="47"/>
    <n v="47.15625"/>
    <n v="46.1875"/>
    <x v="1845"/>
    <n v="29.158064"/>
    <n v="27668600"/>
  </r>
  <r>
    <x v="3434"/>
    <n v="46"/>
    <n v="46.5625"/>
    <n v="45.15625"/>
    <x v="1853"/>
    <n v="28.685545000000001"/>
    <n v="38098400"/>
  </r>
  <r>
    <x v="3435"/>
    <n v="45.4375"/>
    <n v="46.117187999999999"/>
    <n v="44.84375"/>
    <x v="1893"/>
    <n v="28.567425"/>
    <n v="42737800"/>
  </r>
  <r>
    <x v="3436"/>
    <n v="44.75"/>
    <n v="44.90625"/>
    <n v="43.65625"/>
    <x v="1894"/>
    <n v="27.740517000000001"/>
    <n v="73788000"/>
  </r>
  <r>
    <x v="3437"/>
    <n v="43.59375"/>
    <n v="44"/>
    <n v="42.53125"/>
    <x v="1895"/>
    <n v="27.681452"/>
    <n v="75312800"/>
  </r>
  <r>
    <x v="3438"/>
    <n v="44.125"/>
    <n v="44.625"/>
    <n v="42.625"/>
    <x v="1896"/>
    <n v="27.189247000000002"/>
    <n v="69945600"/>
  </r>
  <r>
    <x v="3439"/>
    <n v="45.78125"/>
    <n v="46.1875"/>
    <n v="45.125"/>
    <x v="1873"/>
    <n v="29.059623999999999"/>
    <n v="88090600"/>
  </r>
  <r>
    <x v="3440"/>
    <n v="45.28125"/>
    <n v="46.5625"/>
    <n v="45.25"/>
    <x v="1897"/>
    <n v="29.315567000000001"/>
    <n v="60801200"/>
  </r>
  <r>
    <x v="3441"/>
    <n v="46.78125"/>
    <n v="46.9375"/>
    <n v="45.875"/>
    <x v="1793"/>
    <n v="29.197437000000001"/>
    <n v="43650600"/>
  </r>
  <r>
    <x v="3442"/>
    <n v="46"/>
    <n v="46.78125"/>
    <n v="45.5625"/>
    <x v="1898"/>
    <n v="29.118696"/>
    <n v="30492200"/>
  </r>
  <r>
    <x v="3443"/>
    <n v="47.1875"/>
    <n v="47.625"/>
    <n v="46.132812999999999"/>
    <x v="1790"/>
    <n v="29.099003"/>
    <n v="52467600"/>
  </r>
  <r>
    <x v="3444"/>
    <n v="45.75"/>
    <n v="45.8125"/>
    <n v="44.84375"/>
    <x v="1899"/>
    <n v="28.626491999999999"/>
    <n v="54416600"/>
  </r>
  <r>
    <x v="3445"/>
    <n v="45"/>
    <n v="45.4375"/>
    <n v="44.65625"/>
    <x v="1900"/>
    <n v="28.311481000000001"/>
    <n v="70570400"/>
  </r>
  <r>
    <x v="3446"/>
    <n v="45.71875"/>
    <n v="47"/>
    <n v="45.625"/>
    <x v="1845"/>
    <n v="29.158064"/>
    <n v="79452600"/>
  </r>
  <r>
    <x v="3447"/>
    <n v="46.625"/>
    <n v="47.09375"/>
    <n v="46.0625"/>
    <x v="1790"/>
    <n v="29.099003"/>
    <n v="53261200"/>
  </r>
  <r>
    <x v="3448"/>
    <n v="46.375"/>
    <n v="47.25"/>
    <n v="45.96875"/>
    <x v="1845"/>
    <n v="29.158064"/>
    <n v="46349000"/>
  </r>
  <r>
    <x v="3449"/>
    <n v="46.46875"/>
    <n v="46.75"/>
    <n v="45.75"/>
    <x v="1842"/>
    <n v="28.980867"/>
    <n v="44517000"/>
  </r>
  <r>
    <x v="3450"/>
    <n v="46.15625"/>
    <n v="46.375"/>
    <n v="45.15625"/>
    <x v="1901"/>
    <n v="28.902113"/>
    <n v="54239400"/>
  </r>
  <r>
    <x v="3451"/>
    <n v="45.90625"/>
    <n v="46.4375"/>
    <n v="45.25"/>
    <x v="1902"/>
    <n v="28.843053999999999"/>
    <n v="70167400"/>
  </r>
  <r>
    <x v="3452"/>
    <n v="42.40625"/>
    <n v="45.375"/>
    <n v="42.1875"/>
    <x v="1903"/>
    <n v="28.331163"/>
    <n v="243819200"/>
  </r>
  <r>
    <x v="3453"/>
    <n v="44.875"/>
    <n v="44.9375"/>
    <n v="43.21875"/>
    <x v="1801"/>
    <n v="27.996459999999999"/>
    <n v="109769800"/>
  </r>
  <r>
    <x v="3454"/>
    <n v="44.0625"/>
    <n v="44.5625"/>
    <n v="43.21875"/>
    <x v="1904"/>
    <n v="27.445209999999999"/>
    <n v="69385400"/>
  </r>
  <r>
    <x v="3455"/>
    <n v="44.125"/>
    <n v="45.21875"/>
    <n v="44.125"/>
    <x v="1792"/>
    <n v="28.232718999999999"/>
    <n v="69274600"/>
  </r>
  <r>
    <x v="3456"/>
    <n v="44.875"/>
    <n v="45"/>
    <n v="43.53125"/>
    <x v="1905"/>
    <n v="28.094906000000002"/>
    <n v="49414200"/>
  </r>
  <r>
    <x v="3457"/>
    <n v="44.125"/>
    <n v="44.25"/>
    <n v="43.46875"/>
    <x v="1750"/>
    <n v="27.405821"/>
    <n v="47080400"/>
  </r>
  <r>
    <x v="3458"/>
    <n v="43.46875"/>
    <n v="43.875"/>
    <n v="42.9375"/>
    <x v="1906"/>
    <n v="27.504261"/>
    <n v="59165200"/>
  </r>
  <r>
    <x v="3459"/>
    <n v="43.21875"/>
    <n v="43.53125"/>
    <n v="42.5"/>
    <x v="1835"/>
    <n v="26.775801000000001"/>
    <n v="66819000"/>
  </r>
  <r>
    <x v="3460"/>
    <n v="42.46875"/>
    <n v="42.90625"/>
    <n v="42.25"/>
    <x v="1806"/>
    <n v="26.756119000000002"/>
    <n v="64493200"/>
  </r>
  <r>
    <x v="3461"/>
    <n v="42.21875"/>
    <n v="43.28125"/>
    <n v="42.1875"/>
    <x v="1807"/>
    <n v="27.090803000000001"/>
    <n v="58226000"/>
  </r>
  <r>
    <x v="3462"/>
    <n v="44.8125"/>
    <n v="45.1875"/>
    <n v="44.21875"/>
    <x v="1907"/>
    <n v="28.291782000000001"/>
    <n v="90596600"/>
  </r>
  <r>
    <x v="3463"/>
    <n v="44.625"/>
    <n v="45.6875"/>
    <n v="44.1875"/>
    <x v="1792"/>
    <n v="28.232718999999999"/>
    <n v="70787400"/>
  </r>
  <r>
    <x v="3464"/>
    <n v="44.78125"/>
    <n v="46.125"/>
    <n v="44.75"/>
    <x v="1908"/>
    <n v="28.882425000000001"/>
    <n v="53771000"/>
  </r>
  <r>
    <x v="3465"/>
    <n v="45.8125"/>
    <n v="46.6875"/>
    <n v="45.5"/>
    <x v="1909"/>
    <n v="28.705245999999999"/>
    <n v="28514200"/>
  </r>
  <r>
    <x v="3466"/>
    <n v="45.0625"/>
    <n v="46.03125"/>
    <n v="44.75"/>
    <x v="1840"/>
    <n v="28.409915999999999"/>
    <n v="51460200"/>
  </r>
  <r>
    <x v="3467"/>
    <n v="44.875"/>
    <n v="46.4375"/>
    <n v="44.78125"/>
    <x v="1910"/>
    <n v="28.680613000000001"/>
    <n v="64145600"/>
  </r>
  <r>
    <x v="3468"/>
    <n v="45.53125"/>
    <n v="46.96875"/>
    <n v="45.4375"/>
    <x v="1911"/>
    <n v="29.354939000000002"/>
    <n v="48864200"/>
  </r>
  <r>
    <x v="3469"/>
    <n v="46.53125"/>
    <n v="47.625"/>
    <n v="46.4375"/>
    <x v="1912"/>
    <n v="29.866831000000001"/>
    <n v="55473800"/>
  </r>
  <r>
    <x v="3470"/>
    <n v="47.90625"/>
    <n v="48.5625"/>
    <n v="47.867187999999999"/>
    <x v="1913"/>
    <n v="30.280277000000002"/>
    <n v="64100600"/>
  </r>
  <r>
    <x v="3471"/>
    <n v="47.625"/>
    <n v="48.59375"/>
    <n v="47.375"/>
    <x v="1914"/>
    <n v="30.063723"/>
    <n v="49098200"/>
  </r>
  <r>
    <x v="3472"/>
    <n v="47.375"/>
    <n v="47.4375"/>
    <n v="46.4375"/>
    <x v="1791"/>
    <n v="29.295895000000002"/>
    <n v="56859200"/>
  </r>
  <r>
    <x v="3473"/>
    <n v="46.5625"/>
    <n v="47.15625"/>
    <n v="45.84375"/>
    <x v="1901"/>
    <n v="28.902113"/>
    <n v="40955800"/>
  </r>
  <r>
    <x v="3474"/>
    <n v="46"/>
    <n v="46.65625"/>
    <n v="45.71875"/>
    <x v="1915"/>
    <n v="29.217127000000001"/>
    <n v="46258200"/>
  </r>
  <r>
    <x v="3475"/>
    <n v="46.6875"/>
    <n v="47.0625"/>
    <n v="46.125"/>
    <x v="1877"/>
    <n v="29.571518000000001"/>
    <n v="36836000"/>
  </r>
  <r>
    <x v="3476"/>
    <n v="46.804687999999999"/>
    <n v="48.46875"/>
    <n v="46.375"/>
    <x v="1916"/>
    <n v="30.437785999999999"/>
    <n v="52691600"/>
  </r>
  <r>
    <x v="3477"/>
    <n v="48.09375"/>
    <n v="50.5625"/>
    <n v="47.65625"/>
    <x v="1917"/>
    <n v="31.087489999999999"/>
    <n v="144116200"/>
  </r>
  <r>
    <x v="3478"/>
    <n v="49.28125"/>
    <n v="54.375"/>
    <n v="49.25"/>
    <x v="1918"/>
    <n v="34.158833000000001"/>
    <n v="155571600"/>
  </r>
  <r>
    <x v="3479"/>
    <n v="54.625"/>
    <n v="57.5"/>
    <n v="54.46875"/>
    <x v="1919"/>
    <n v="35.812629999999999"/>
    <n v="128660200"/>
  </r>
  <r>
    <x v="3480"/>
    <n v="58.3125"/>
    <n v="58.5625"/>
    <n v="56.8125"/>
    <x v="1920"/>
    <n v="36.304844000000003"/>
    <n v="105898800"/>
  </r>
  <r>
    <x v="3481"/>
    <n v="57.40625"/>
    <n v="57.5"/>
    <n v="55.59375"/>
    <x v="1921"/>
    <n v="35.517319000000001"/>
    <n v="39433800"/>
  </r>
  <r>
    <x v="3482"/>
    <n v="56.1875"/>
    <n v="58.3125"/>
    <n v="55.3125"/>
    <x v="1922"/>
    <n v="36.501719999999999"/>
    <n v="57446000"/>
  </r>
  <r>
    <x v="3483"/>
    <n v="58.148437999999999"/>
    <n v="59"/>
    <n v="57.5625"/>
    <x v="1923"/>
    <n v="37.033290999999998"/>
    <n v="38565200"/>
  </r>
  <r>
    <x v="3484"/>
    <n v="58.625"/>
    <n v="59.625"/>
    <n v="58.375"/>
    <x v="1924"/>
    <n v="36.993923000000002"/>
    <n v="31028400"/>
  </r>
  <r>
    <x v="3485"/>
    <n v="59.21875"/>
    <n v="59.625"/>
    <n v="58.0625"/>
    <x v="1925"/>
    <n v="37.525497000000001"/>
    <n v="32202200"/>
  </r>
  <r>
    <x v="3486"/>
    <n v="59.375"/>
    <n v="59.40625"/>
    <n v="58.53125"/>
    <x v="1926"/>
    <n v="37.013610999999997"/>
    <n v="24591000"/>
  </r>
  <r>
    <x v="3487"/>
    <n v="58.46875"/>
    <n v="59.1875"/>
    <n v="58.40625"/>
    <x v="1927"/>
    <n v="37.151417000000002"/>
    <n v="17449200"/>
  </r>
  <r>
    <x v="3488"/>
    <n v="58.9375"/>
    <n v="59.96875"/>
    <n v="58.5625"/>
    <x v="1928"/>
    <n v="37.052982"/>
    <n v="22360000"/>
  </r>
  <r>
    <x v="3489"/>
    <n v="58.75"/>
    <n v="58.875"/>
    <n v="58.125"/>
    <x v="1929"/>
    <n v="36.777348000000003"/>
    <n v="12517600"/>
  </r>
  <r>
    <x v="3490"/>
    <n v="58.6875"/>
    <n v="59.3125"/>
    <n v="56"/>
    <x v="1930"/>
    <n v="36.718285000000002"/>
    <n v="53228400"/>
  </r>
  <r>
    <x v="3491"/>
    <n v="56.78125"/>
    <n v="58.5625"/>
    <n v="56.125"/>
    <x v="1931"/>
    <n v="35.477947"/>
    <n v="54119000"/>
  </r>
  <r>
    <x v="3492"/>
    <n v="55.5625"/>
    <n v="58.1875"/>
    <n v="54.6875"/>
    <x v="1932"/>
    <n v="35.852004999999998"/>
    <n v="64059600"/>
  </r>
  <r>
    <x v="3493"/>
    <n v="56.09375"/>
    <n v="56.9375"/>
    <n v="54.1875"/>
    <x v="1933"/>
    <n v="34.651038999999997"/>
    <n v="54976600"/>
  </r>
  <r>
    <x v="3494"/>
    <n v="54.3125"/>
    <n v="56.125"/>
    <n v="53.65625"/>
    <x v="1934"/>
    <n v="35.103862999999997"/>
    <n v="62013600"/>
  </r>
  <r>
    <x v="3495"/>
    <n v="56.71875"/>
    <n v="56.84375"/>
    <n v="55.6875"/>
    <x v="1935"/>
    <n v="35.359817999999997"/>
    <n v="44963600"/>
  </r>
  <r>
    <x v="3496"/>
    <n v="55.75"/>
    <n v="57.125"/>
    <n v="54.34375"/>
    <x v="1936"/>
    <n v="34.454166000000001"/>
    <n v="46743600"/>
  </r>
  <r>
    <x v="3497"/>
    <n v="54.25"/>
    <n v="54.4375"/>
    <n v="52.21875"/>
    <x v="1937"/>
    <n v="33.331947"/>
    <n v="66532400"/>
  </r>
  <r>
    <x v="3498"/>
    <n v="52.1875"/>
    <n v="54.3125"/>
    <n v="50.75"/>
    <x v="1938"/>
    <n v="33.961951999999997"/>
    <n v="83144000"/>
  </r>
  <r>
    <x v="3499"/>
    <n v="53.59375"/>
    <n v="56.96875"/>
    <n v="52.875"/>
    <x v="1935"/>
    <n v="35.359817999999997"/>
    <n v="73416400"/>
  </r>
  <r>
    <x v="3500"/>
    <n v="55.90625"/>
    <n v="58.25"/>
    <n v="55.875"/>
    <x v="1939"/>
    <n v="36.324523999999997"/>
    <n v="81483600"/>
  </r>
  <r>
    <x v="3501"/>
    <n v="55.25"/>
    <n v="55.75"/>
    <n v="53"/>
    <x v="1940"/>
    <n v="33.706001000000001"/>
    <n v="97568200"/>
  </r>
  <r>
    <x v="3502"/>
    <n v="53.53125"/>
    <n v="54.84375"/>
    <n v="52.9375"/>
    <x v="1941"/>
    <n v="33.391005999999997"/>
    <n v="56349800"/>
  </r>
  <r>
    <x v="3503"/>
    <n v="53.5"/>
    <n v="53.625"/>
    <n v="51.625"/>
    <x v="1942"/>
    <n v="32.682223999999998"/>
    <n v="68416200"/>
  </r>
  <r>
    <x v="3504"/>
    <n v="51.898437999999999"/>
    <n v="52.84375"/>
    <n v="50.40625"/>
    <x v="1943"/>
    <n v="31.894703"/>
    <n v="63597600"/>
  </r>
  <r>
    <x v="3505"/>
    <n v="50.5"/>
    <n v="51.9375"/>
    <n v="49.78125"/>
    <x v="1944"/>
    <n v="32.386913"/>
    <n v="59823200"/>
  </r>
  <r>
    <x v="3506"/>
    <n v="51.21875"/>
    <n v="51.75"/>
    <n v="49.5625"/>
    <x v="1945"/>
    <n v="31.304065999999999"/>
    <n v="49365000"/>
  </r>
  <r>
    <x v="3507"/>
    <n v="49.945312999999999"/>
    <n v="50.59375"/>
    <n v="48.625"/>
    <x v="1946"/>
    <n v="31.107182999999999"/>
    <n v="63654800"/>
  </r>
  <r>
    <x v="3508"/>
    <n v="49.0625"/>
    <n v="50.125"/>
    <n v="48.625"/>
    <x v="1947"/>
    <n v="30.949677000000001"/>
    <n v="58225400"/>
  </r>
  <r>
    <x v="3509"/>
    <n v="48.8125"/>
    <n v="49.09375"/>
    <n v="47.4375"/>
    <x v="1948"/>
    <n v="30.831538999999999"/>
    <n v="73194200"/>
  </r>
  <r>
    <x v="3510"/>
    <n v="49.25"/>
    <n v="51.625"/>
    <n v="48.84375"/>
    <x v="1949"/>
    <n v="32.426276999999999"/>
    <n v="70196600"/>
  </r>
  <r>
    <x v="3511"/>
    <n v="51.21875"/>
    <n v="51.96875"/>
    <n v="50.25"/>
    <x v="1950"/>
    <n v="31.756891"/>
    <n v="49915600"/>
  </r>
  <r>
    <x v="3512"/>
    <n v="51.03125"/>
    <n v="52.09375"/>
    <n v="50.0625"/>
    <x v="1951"/>
    <n v="32.642868"/>
    <n v="49186000"/>
  </r>
  <r>
    <x v="3513"/>
    <n v="52.1875"/>
    <n v="54"/>
    <n v="52.070312999999999"/>
    <x v="1952"/>
    <n v="33.568192000000003"/>
    <n v="55365400"/>
  </r>
  <r>
    <x v="3514"/>
    <n v="53.40625"/>
    <n v="53.4375"/>
    <n v="52.125"/>
    <x v="1953"/>
    <n v="33.587887000000002"/>
    <n v="40005800"/>
  </r>
  <r>
    <x v="3515"/>
    <n v="53.21875"/>
    <n v="55"/>
    <n v="53.21875"/>
    <x v="1954"/>
    <n v="34.631351000000002"/>
    <n v="56229000"/>
  </r>
  <r>
    <x v="3516"/>
    <n v="54.71875"/>
    <n v="54.71875"/>
    <n v="51.9375"/>
    <x v="1955"/>
    <n v="32.76099"/>
    <n v="55090000"/>
  </r>
  <r>
    <x v="3517"/>
    <n v="51.945312999999999"/>
    <n v="53.28125"/>
    <n v="51.25"/>
    <x v="1941"/>
    <n v="33.391005999999997"/>
    <n v="54527800"/>
  </r>
  <r>
    <x v="3518"/>
    <n v="52.4375"/>
    <n v="52.4375"/>
    <n v="49.5625"/>
    <x v="1956"/>
    <n v="31.481262000000001"/>
    <n v="115559000"/>
  </r>
  <r>
    <x v="3519"/>
    <n v="50.617187999999999"/>
    <n v="50.875"/>
    <n v="49.53125"/>
    <x v="1957"/>
    <n v="31.382815999999998"/>
    <n v="81028600"/>
  </r>
  <r>
    <x v="3520"/>
    <n v="49.875"/>
    <n v="50"/>
    <n v="49.0625"/>
    <x v="1958"/>
    <n v="31.048110999999999"/>
    <n v="71027600"/>
  </r>
  <r>
    <x v="3521"/>
    <n v="49.625"/>
    <n v="50.09375"/>
    <n v="48.5625"/>
    <x v="1959"/>
    <n v="30.752808000000002"/>
    <n v="65202600"/>
  </r>
  <r>
    <x v="3522"/>
    <n v="49.25"/>
    <n v="49.84375"/>
    <n v="48.570312999999999"/>
    <x v="1957"/>
    <n v="31.382815999999998"/>
    <n v="80343400"/>
  </r>
  <r>
    <x v="3523"/>
    <n v="50"/>
    <n v="50.03125"/>
    <n v="47.4375"/>
    <x v="1878"/>
    <n v="29.945578000000001"/>
    <n v="79063000"/>
  </r>
  <r>
    <x v="3524"/>
    <n v="47.5625"/>
    <n v="48.5625"/>
    <n v="46.40625"/>
    <x v="1960"/>
    <n v="29.551829999999999"/>
    <n v="66296200"/>
  </r>
  <r>
    <x v="3525"/>
    <n v="46.75"/>
    <n v="47.875"/>
    <n v="46.03125"/>
    <x v="1798"/>
    <n v="29.689654999999998"/>
    <n v="75847200"/>
  </r>
  <r>
    <x v="3526"/>
    <n v="47.125"/>
    <n v="47.9375"/>
    <n v="46"/>
    <x v="1961"/>
    <n v="29.847145000000001"/>
    <n v="69733200"/>
  </r>
  <r>
    <x v="3527"/>
    <n v="47.34375"/>
    <n v="47.351562999999999"/>
    <n v="45.25"/>
    <x v="1962"/>
    <n v="28.764317999999999"/>
    <n v="65301400"/>
  </r>
  <r>
    <x v="3528"/>
    <n v="45.125"/>
    <n v="46.0625"/>
    <n v="44.0625"/>
    <x v="1902"/>
    <n v="28.843053999999999"/>
    <n v="76131800"/>
  </r>
  <r>
    <x v="3529"/>
    <n v="45.875"/>
    <n v="45.875"/>
    <n v="44.4375"/>
    <x v="1963"/>
    <n v="28.153970999999999"/>
    <n v="58437400"/>
  </r>
  <r>
    <x v="3530"/>
    <n v="44.8125"/>
    <n v="47.046875"/>
    <n v="44.46875"/>
    <x v="1964"/>
    <n v="28.606791999999999"/>
    <n v="106889800"/>
  </r>
  <r>
    <x v="3531"/>
    <n v="45.90625"/>
    <n v="47.6875"/>
    <n v="45.5625"/>
    <x v="1965"/>
    <n v="29.413996000000001"/>
    <n v="106932600"/>
  </r>
  <r>
    <x v="3532"/>
    <n v="47.375"/>
    <n v="49.4375"/>
    <n v="46.9375"/>
    <x v="1913"/>
    <n v="30.280277000000002"/>
    <n v="101435200"/>
  </r>
  <r>
    <x v="3533"/>
    <n v="48"/>
    <n v="48.6875"/>
    <n v="45.0625"/>
    <x v="1966"/>
    <n v="28.547739"/>
    <n v="93609400"/>
  </r>
  <r>
    <x v="3534"/>
    <n v="48.0625"/>
    <n v="48.75"/>
    <n v="45.96875"/>
    <x v="1967"/>
    <n v="29.256512000000001"/>
    <n v="135061000"/>
  </r>
  <r>
    <x v="3535"/>
    <n v="46.90625"/>
    <n v="48.09375"/>
    <n v="45.5"/>
    <x v="1968"/>
    <n v="30.103097999999999"/>
    <n v="94290000"/>
  </r>
  <r>
    <x v="3536"/>
    <n v="47.65625"/>
    <n v="50"/>
    <n v="47.5"/>
    <x v="1969"/>
    <n v="31.500945999999999"/>
    <n v="88198800"/>
  </r>
  <r>
    <x v="3537"/>
    <n v="49.78125"/>
    <n v="51.25"/>
    <n v="49.75"/>
    <x v="1970"/>
    <n v="31.815950000000001"/>
    <n v="85589000"/>
  </r>
  <r>
    <x v="3538"/>
    <n v="48.8125"/>
    <n v="50.125"/>
    <n v="48.75"/>
    <x v="1971"/>
    <n v="30.870937000000001"/>
    <n v="61831800"/>
  </r>
  <r>
    <x v="3539"/>
    <n v="49.3125"/>
    <n v="49.625"/>
    <n v="47.5625"/>
    <x v="1972"/>
    <n v="29.965278999999999"/>
    <n v="73489200"/>
  </r>
  <r>
    <x v="3540"/>
    <n v="47.28125"/>
    <n v="48.3125"/>
    <n v="46.84375"/>
    <x v="1973"/>
    <n v="30.044036999999999"/>
    <n v="53208000"/>
  </r>
  <r>
    <x v="3541"/>
    <n v="47.96875"/>
    <n v="48.34375"/>
    <n v="46.625"/>
    <x v="1973"/>
    <n v="30.044036999999999"/>
    <n v="77300800"/>
  </r>
  <r>
    <x v="3542"/>
    <n v="47.625"/>
    <n v="49.75"/>
    <n v="47.25"/>
    <x v="1945"/>
    <n v="31.304065999999999"/>
    <n v="81161600"/>
  </r>
  <r>
    <x v="3543"/>
    <n v="49.375"/>
    <n v="49.875"/>
    <n v="48.25"/>
    <x v="1974"/>
    <n v="30.674054999999999"/>
    <n v="47773000"/>
  </r>
  <r>
    <x v="3544"/>
    <n v="48.375"/>
    <n v="51.5625"/>
    <n v="48.25"/>
    <x v="1975"/>
    <n v="32.367226000000002"/>
    <n v="81648800"/>
  </r>
  <r>
    <x v="3545"/>
    <n v="51.40625"/>
    <n v="52.8125"/>
    <n v="50.5625"/>
    <x v="1976"/>
    <n v="32.524734000000002"/>
    <n v="93975800"/>
  </r>
  <r>
    <x v="3546"/>
    <n v="53.40625"/>
    <n v="56.4375"/>
    <n v="53.3125"/>
    <x v="1977"/>
    <n v="35.241692"/>
    <n v="148224000"/>
  </r>
  <r>
    <x v="3547"/>
    <n v="56.3125"/>
    <n v="57.5"/>
    <n v="54.78125"/>
    <x v="1978"/>
    <n v="35.182617"/>
    <n v="112196800"/>
  </r>
  <r>
    <x v="3548"/>
    <n v="53.882812999999999"/>
    <n v="54.125"/>
    <n v="51.96875"/>
    <x v="1979"/>
    <n v="32.780678000000002"/>
    <n v="111434000"/>
  </r>
  <r>
    <x v="3549"/>
    <n v="51.8125"/>
    <n v="53.71875"/>
    <n v="51.1875"/>
    <x v="1980"/>
    <n v="32.859420999999998"/>
    <n v="81114400"/>
  </r>
  <r>
    <x v="3550"/>
    <n v="52.59375"/>
    <n v="54.46875"/>
    <n v="52.5625"/>
    <x v="1981"/>
    <n v="33.765076000000001"/>
    <n v="64363800"/>
  </r>
  <r>
    <x v="3551"/>
    <n v="53.09375"/>
    <n v="54.3125"/>
    <n v="51.25"/>
    <x v="1982"/>
    <n v="32.564095000000002"/>
    <n v="64178400"/>
  </r>
  <r>
    <x v="3552"/>
    <n v="53"/>
    <n v="54.125"/>
    <n v="52.0625"/>
    <x v="1983"/>
    <n v="33.469757000000001"/>
    <n v="64281400"/>
  </r>
  <r>
    <x v="3553"/>
    <n v="47.21875"/>
    <n v="48.25"/>
    <n v="45"/>
    <x v="1899"/>
    <n v="28.626491999999999"/>
    <n v="260118200"/>
  </r>
  <r>
    <x v="3554"/>
    <n v="45.78125"/>
    <n v="46"/>
    <n v="42.46875"/>
    <x v="1984"/>
    <n v="27.898005000000001"/>
    <n v="181244400"/>
  </r>
  <r>
    <x v="3555"/>
    <n v="44.125"/>
    <n v="44.25"/>
    <n v="42.9375"/>
    <x v="1985"/>
    <n v="27.208932999999998"/>
    <n v="82887600"/>
  </r>
  <r>
    <x v="3556"/>
    <n v="43.9375"/>
    <n v="44"/>
    <n v="42.632812999999999"/>
    <x v="1807"/>
    <n v="27.090803000000001"/>
    <n v="66421400"/>
  </r>
  <r>
    <x v="3557"/>
    <n v="43.5"/>
    <n v="44.6875"/>
    <n v="42.5"/>
    <x v="1789"/>
    <n v="28.055516999999998"/>
    <n v="82613600"/>
  </r>
  <r>
    <x v="3558"/>
    <n v="44.3125"/>
    <n v="44.3125"/>
    <n v="43"/>
    <x v="1986"/>
    <n v="27.110486999999999"/>
    <n v="60685400"/>
  </r>
  <r>
    <x v="3559"/>
    <n v="42.5625"/>
    <n v="43.03125"/>
    <n v="41.75"/>
    <x v="1987"/>
    <n v="26.421408"/>
    <n v="71961800"/>
  </r>
  <r>
    <x v="3560"/>
    <n v="41.0625"/>
    <n v="41.125"/>
    <n v="39.375"/>
    <x v="1831"/>
    <n v="25.003879999999999"/>
    <n v="153003800"/>
  </r>
  <r>
    <x v="3561"/>
    <n v="40.4375"/>
    <n v="41.125"/>
    <n v="39.5"/>
    <x v="1988"/>
    <n v="24.964493000000001"/>
    <n v="94316200"/>
  </r>
  <r>
    <x v="3562"/>
    <n v="39.5625"/>
    <n v="39.75"/>
    <n v="36.625"/>
    <x v="1989"/>
    <n v="23.350088"/>
    <n v="151217800"/>
  </r>
  <r>
    <x v="3563"/>
    <n v="37.125"/>
    <n v="38"/>
    <n v="36.5"/>
    <x v="1770"/>
    <n v="23.901351999999999"/>
    <n v="119772200"/>
  </r>
  <r>
    <x v="3564"/>
    <n v="38.25"/>
    <n v="40.96875"/>
    <n v="37.9375"/>
    <x v="1990"/>
    <n v="25.377941"/>
    <n v="91794600"/>
  </r>
  <r>
    <x v="3565"/>
    <n v="40.71875"/>
    <n v="40.75"/>
    <n v="39.0625"/>
    <x v="1820"/>
    <n v="24.787312"/>
    <n v="53715400"/>
  </r>
  <r>
    <x v="3566"/>
    <n v="39.3125"/>
    <n v="39.9375"/>
    <n v="38.75"/>
    <x v="1991"/>
    <n v="24.866060000000001"/>
    <n v="52387400"/>
  </r>
  <r>
    <x v="3567"/>
    <n v="33.625"/>
    <n v="34"/>
    <n v="32.5"/>
    <x v="1992"/>
    <n v="20.987508999999999"/>
    <n v="313645800"/>
  </r>
  <r>
    <x v="3568"/>
    <n v="34.375"/>
    <n v="34.75"/>
    <n v="33.8125"/>
    <x v="1993"/>
    <n v="21.853784999999998"/>
    <n v="159517400"/>
  </r>
  <r>
    <x v="3569"/>
    <n v="35"/>
    <n v="35.5625"/>
    <n v="33.6875"/>
    <x v="1994"/>
    <n v="21.420641"/>
    <n v="107091200"/>
  </r>
  <r>
    <x v="3570"/>
    <n v="33.71875"/>
    <n v="34.96875"/>
    <n v="33.6875"/>
    <x v="1995"/>
    <n v="21.991589999999999"/>
    <n v="77669800"/>
  </r>
  <r>
    <x v="3571"/>
    <n v="35.375"/>
    <n v="35.5"/>
    <n v="34.125"/>
    <x v="1996"/>
    <n v="21.971910000000001"/>
    <n v="78082600"/>
  </r>
  <r>
    <x v="3572"/>
    <n v="36.4375"/>
    <n v="37"/>
    <n v="35.84375"/>
    <x v="1997"/>
    <n v="23.133505"/>
    <n v="107811000"/>
  </r>
  <r>
    <x v="3573"/>
    <n v="36.40625"/>
    <n v="36.75"/>
    <n v="34.75"/>
    <x v="1998"/>
    <n v="22.011288"/>
    <n v="97716200"/>
  </r>
  <r>
    <x v="3574"/>
    <n v="35.1875"/>
    <n v="35.40625"/>
    <n v="34.40625"/>
    <x v="1999"/>
    <n v="22.227855999999999"/>
    <n v="55354800"/>
  </r>
  <r>
    <x v="3575"/>
    <n v="35.15625"/>
    <n v="35.625"/>
    <n v="34.65625"/>
    <x v="2000"/>
    <n v="22.188479999999998"/>
    <n v="43317200"/>
  </r>
  <r>
    <x v="3576"/>
    <n v="35.125"/>
    <n v="35.90625"/>
    <n v="34.9375"/>
    <x v="2001"/>
    <n v="22.405045000000001"/>
    <n v="36402200"/>
  </r>
  <r>
    <x v="3577"/>
    <n v="35.46875"/>
    <n v="35.6875"/>
    <n v="34.84375"/>
    <x v="1995"/>
    <n v="21.991589999999999"/>
    <n v="36187600"/>
  </r>
  <r>
    <x v="3578"/>
    <n v="35.09375"/>
    <n v="35.21875"/>
    <n v="33.75"/>
    <x v="2002"/>
    <n v="21.361574000000001"/>
    <n v="60778400"/>
  </r>
  <r>
    <x v="3579"/>
    <n v="33.875"/>
    <n v="33.9375"/>
    <n v="32.875"/>
    <x v="2003"/>
    <n v="20.849688"/>
    <n v="67740000"/>
  </r>
  <r>
    <x v="3580"/>
    <n v="33.3125"/>
    <n v="34.0625"/>
    <n v="32.875"/>
    <x v="2004"/>
    <n v="21.381264000000002"/>
    <n v="58390800"/>
  </r>
  <r>
    <x v="3581"/>
    <n v="34.21875"/>
    <n v="34.875"/>
    <n v="34.125"/>
    <x v="2005"/>
    <n v="21.676580000000001"/>
    <n v="37886000"/>
  </r>
  <r>
    <x v="3582"/>
    <n v="34.5"/>
    <n v="34.71875"/>
    <n v="34"/>
    <x v="1993"/>
    <n v="21.853784999999998"/>
    <n v="33899600"/>
  </r>
  <r>
    <x v="3583"/>
    <n v="34.78125"/>
    <n v="35.3125"/>
    <n v="34.53125"/>
    <x v="1732"/>
    <n v="21.893162"/>
    <n v="48410600"/>
  </r>
  <r>
    <x v="3584"/>
    <n v="34.4375"/>
    <n v="34.5625"/>
    <n v="33.625"/>
    <x v="2006"/>
    <n v="21.322202999999998"/>
    <n v="53242000"/>
  </r>
  <r>
    <x v="3585"/>
    <n v="34.03125"/>
    <n v="34.03125"/>
    <n v="32.9375"/>
    <x v="2003"/>
    <n v="20.849688"/>
    <n v="53640400"/>
  </r>
  <r>
    <x v="3586"/>
    <n v="32.6875"/>
    <n v="32.96875"/>
    <n v="32.25"/>
    <x v="2007"/>
    <n v="20.495305999999999"/>
    <n v="66578000"/>
  </r>
  <r>
    <x v="3587"/>
    <n v="32.5625"/>
    <n v="32.625"/>
    <n v="31.21875"/>
    <x v="2008"/>
    <n v="20.219669"/>
    <n v="69955000"/>
  </r>
  <r>
    <x v="3588"/>
    <n v="31.9375"/>
    <n v="32.78125"/>
    <n v="31.53125"/>
    <x v="2009"/>
    <n v="19.904667"/>
    <n v="57963200"/>
  </r>
  <r>
    <x v="3589"/>
    <n v="31.5625"/>
    <n v="33.28125"/>
    <n v="31.5"/>
    <x v="2010"/>
    <n v="20.652811"/>
    <n v="85482400"/>
  </r>
  <r>
    <x v="3590"/>
    <n v="32.28125"/>
    <n v="32.375"/>
    <n v="30.5625"/>
    <x v="2011"/>
    <n v="19.373080999999999"/>
    <n v="94348800"/>
  </r>
  <r>
    <x v="3591"/>
    <n v="31.03125"/>
    <n v="31.3125"/>
    <n v="30.1875"/>
    <x v="2012"/>
    <n v="19.353390000000001"/>
    <n v="55822000"/>
  </r>
  <r>
    <x v="3592"/>
    <n v="31.21875"/>
    <n v="32.0625"/>
    <n v="31"/>
    <x v="1713"/>
    <n v="19.963726000000001"/>
    <n v="68536400"/>
  </r>
  <r>
    <x v="3593"/>
    <n v="31.820312999999999"/>
    <n v="31.851562999999999"/>
    <n v="31.03125"/>
    <x v="2013"/>
    <n v="19.707778999999999"/>
    <n v="54968200"/>
  </r>
  <r>
    <x v="3594"/>
    <n v="32.1875"/>
    <n v="33"/>
    <n v="31.90625"/>
    <x v="2014"/>
    <n v="20.337803000000001"/>
    <n v="94507200"/>
  </r>
  <r>
    <x v="3595"/>
    <n v="33"/>
    <n v="33.375"/>
    <n v="32.5"/>
    <x v="2015"/>
    <n v="20.889071000000001"/>
    <n v="80463200"/>
  </r>
  <r>
    <x v="3596"/>
    <n v="33.007812999999999"/>
    <n v="34.1875"/>
    <n v="33"/>
    <x v="1723"/>
    <n v="21.066251999999999"/>
    <n v="64400000"/>
  </r>
  <r>
    <x v="3597"/>
    <n v="34.09375"/>
    <n v="34.9375"/>
    <n v="33.90625"/>
    <x v="2016"/>
    <n v="21.932535000000001"/>
    <n v="99019000"/>
  </r>
  <r>
    <x v="3598"/>
    <n v="34.625"/>
    <n v="35.375"/>
    <n v="33.5625"/>
    <x v="1734"/>
    <n v="22.208168000000001"/>
    <n v="76310600"/>
  </r>
  <r>
    <x v="3599"/>
    <n v="35.78125"/>
    <n v="36.0625"/>
    <n v="34.125"/>
    <x v="2005"/>
    <n v="21.676580000000001"/>
    <n v="94765600"/>
  </r>
  <r>
    <x v="3600"/>
    <n v="34.8125"/>
    <n v="34.84375"/>
    <n v="34.15625"/>
    <x v="2005"/>
    <n v="21.676580000000001"/>
    <n v="35710200"/>
  </r>
  <r>
    <x v="3601"/>
    <n v="34.5"/>
    <n v="34.5"/>
    <n v="33.1875"/>
    <x v="1723"/>
    <n v="21.066251999999999"/>
    <n v="49260600"/>
  </r>
  <r>
    <x v="3602"/>
    <n v="33.375"/>
    <n v="34"/>
    <n v="33.0625"/>
    <x v="2004"/>
    <n v="21.381264000000002"/>
    <n v="44289200"/>
  </r>
  <r>
    <x v="3603"/>
    <n v="34.90625"/>
    <n v="35.5"/>
    <n v="34.75"/>
    <x v="1734"/>
    <n v="22.208168000000001"/>
    <n v="79992400"/>
  </r>
  <r>
    <x v="3604"/>
    <n v="35.40625"/>
    <n v="36.34375"/>
    <n v="35.3125"/>
    <x v="2017"/>
    <n v="22.798812999999999"/>
    <n v="65592600"/>
  </r>
  <r>
    <x v="3605"/>
    <n v="36.3125"/>
    <n v="36.5625"/>
    <n v="35.75"/>
    <x v="2018"/>
    <n v="22.857882"/>
    <n v="68710600"/>
  </r>
  <r>
    <x v="3606"/>
    <n v="36.28125"/>
    <n v="36.90625"/>
    <n v="36"/>
    <x v="2019"/>
    <n v="23.212254999999999"/>
    <n v="46604800"/>
  </r>
  <r>
    <x v="3607"/>
    <n v="36.9375"/>
    <n v="37.625"/>
    <n v="36.875"/>
    <x v="1738"/>
    <n v="23.606024000000001"/>
    <n v="62275000"/>
  </r>
  <r>
    <x v="3608"/>
    <n v="38.5"/>
    <n v="41.09375"/>
    <n v="38.46875"/>
    <x v="1777"/>
    <n v="25.41732"/>
    <n v="160399600"/>
  </r>
  <r>
    <x v="3609"/>
    <n v="40.6875"/>
    <n v="41"/>
    <n v="39.65625"/>
    <x v="1812"/>
    <n v="25.161375"/>
    <n v="87315200"/>
  </r>
  <r>
    <x v="3610"/>
    <n v="39.96875"/>
    <n v="40.03125"/>
    <n v="38.5"/>
    <x v="1833"/>
    <n v="24.472290000000001"/>
    <n v="49811600"/>
  </r>
  <r>
    <x v="3611"/>
    <n v="38.75"/>
    <n v="40.0625"/>
    <n v="38.75"/>
    <x v="1775"/>
    <n v="25.043243"/>
    <n v="48287000"/>
  </r>
  <r>
    <x v="3612"/>
    <n v="39.625"/>
    <n v="40.0625"/>
    <n v="39.1875"/>
    <x v="2020"/>
    <n v="24.826682999999999"/>
    <n v="31071200"/>
  </r>
  <r>
    <x v="3613"/>
    <n v="39.5"/>
    <n v="40.03125"/>
    <n v="39.3125"/>
    <x v="1991"/>
    <n v="24.866060000000001"/>
    <n v="37459200"/>
  </r>
  <r>
    <x v="3614"/>
    <n v="39.125"/>
    <n v="39.46875"/>
    <n v="38.53125"/>
    <x v="2021"/>
    <n v="24.314781"/>
    <n v="38449000"/>
  </r>
  <r>
    <x v="3615"/>
    <n v="38.53125"/>
    <n v="40"/>
    <n v="38.34375"/>
    <x v="1756"/>
    <n v="25.200755999999998"/>
    <n v="52356400"/>
  </r>
  <r>
    <x v="3616"/>
    <n v="39.84375"/>
    <n v="40.03125"/>
    <n v="39.6875"/>
    <x v="1756"/>
    <n v="25.200755999999998"/>
    <n v="15734800"/>
  </r>
  <r>
    <x v="3617"/>
    <n v="39.9375"/>
    <n v="39.9375"/>
    <n v="39.125"/>
    <x v="1826"/>
    <n v="24.728242999999999"/>
    <n v="34824400"/>
  </r>
  <r>
    <x v="3618"/>
    <n v="39.4375"/>
    <n v="40.84375"/>
    <n v="39.25"/>
    <x v="1747"/>
    <n v="25.496079999999999"/>
    <n v="47873200"/>
  </r>
  <r>
    <x v="3619"/>
    <n v="40.632812999999999"/>
    <n v="41.4375"/>
    <n v="40.28125"/>
    <x v="1805"/>
    <n v="25.830776"/>
    <n v="54153200"/>
  </r>
  <r>
    <x v="3620"/>
    <n v="40.34375"/>
    <n v="40.65625"/>
    <n v="39.6875"/>
    <x v="2022"/>
    <n v="25.023561000000001"/>
    <n v="52689800"/>
  </r>
  <r>
    <x v="3621"/>
    <n v="39.40625"/>
    <n v="40.25"/>
    <n v="39.25"/>
    <x v="1814"/>
    <n v="24.925118999999999"/>
    <n v="37164800"/>
  </r>
  <r>
    <x v="3622"/>
    <n v="39.125"/>
    <n v="40.5"/>
    <n v="38.59375"/>
    <x v="1759"/>
    <n v="25.299199999999999"/>
    <n v="58370200"/>
  </r>
  <r>
    <x v="3623"/>
    <n v="39.40625"/>
    <n v="40"/>
    <n v="38.6875"/>
    <x v="2023"/>
    <n v="25.181066999999999"/>
    <n v="80843200"/>
  </r>
  <r>
    <x v="3624"/>
    <n v="39.75"/>
    <n v="39.875"/>
    <n v="39.21875"/>
    <x v="1991"/>
    <n v="24.866060000000001"/>
    <n v="51180600"/>
  </r>
  <r>
    <x v="3625"/>
    <n v="39.125"/>
    <n v="39.78125"/>
    <n v="38.75"/>
    <x v="2024"/>
    <n v="24.629805000000001"/>
    <n v="53992800"/>
  </r>
  <r>
    <x v="3626"/>
    <n v="38.8125"/>
    <n v="39.75"/>
    <n v="38.71875"/>
    <x v="1826"/>
    <n v="24.728242999999999"/>
    <n v="70617200"/>
  </r>
  <r>
    <x v="3627"/>
    <n v="38.03125"/>
    <n v="38.75"/>
    <n v="36.40625"/>
    <x v="2025"/>
    <n v="23.035064999999999"/>
    <n v="139924600"/>
  </r>
  <r>
    <x v="3628"/>
    <n v="36.71875"/>
    <n v="37.625"/>
    <n v="36.5625"/>
    <x v="1772"/>
    <n v="23.566648000000001"/>
    <n v="54690600"/>
  </r>
  <r>
    <x v="3629"/>
    <n v="37.375"/>
    <n v="37.5"/>
    <n v="35.9375"/>
    <x v="2026"/>
    <n v="22.779125000000001"/>
    <n v="56100600"/>
  </r>
  <r>
    <x v="3630"/>
    <n v="36.03125"/>
    <n v="36.0625"/>
    <n v="35"/>
    <x v="1999"/>
    <n v="22.227855999999999"/>
    <n v="56165600"/>
  </r>
  <r>
    <x v="3631"/>
    <n v="35.40625"/>
    <n v="35.5"/>
    <n v="34.1875"/>
    <x v="2027"/>
    <n v="21.735655000000001"/>
    <n v="64188600"/>
  </r>
  <r>
    <x v="3632"/>
    <n v="34.53125"/>
    <n v="34.75"/>
    <n v="33.625"/>
    <x v="2002"/>
    <n v="21.361574000000001"/>
    <n v="85404600"/>
  </r>
  <r>
    <x v="3633"/>
    <n v="33.9375"/>
    <n v="35.0625"/>
    <n v="33.75"/>
    <x v="1993"/>
    <n v="21.853784999999998"/>
    <n v="74337600"/>
  </r>
  <r>
    <x v="3634"/>
    <n v="35.46875"/>
    <n v="35.90625"/>
    <n v="34.8125"/>
    <x v="2028"/>
    <n v="21.952224999999999"/>
    <n v="75645600"/>
  </r>
  <r>
    <x v="3635"/>
    <n v="35.09375"/>
    <n v="35.5625"/>
    <n v="34.625"/>
    <x v="1995"/>
    <n v="21.991589999999999"/>
    <n v="70283800"/>
  </r>
  <r>
    <x v="3636"/>
    <n v="34.96875"/>
    <n v="35.03125"/>
    <n v="34.09375"/>
    <x v="2029"/>
    <n v="21.637219999999999"/>
    <n v="47163600"/>
  </r>
  <r>
    <x v="3637"/>
    <n v="34.28125"/>
    <n v="35.21875"/>
    <n v="34.25"/>
    <x v="1993"/>
    <n v="21.853784999999998"/>
    <n v="48269200"/>
  </r>
  <r>
    <x v="3638"/>
    <n v="34.09375"/>
    <n v="35.1875"/>
    <n v="34.0625"/>
    <x v="1731"/>
    <n v="22.129417"/>
    <n v="54543400"/>
  </r>
  <r>
    <x v="3639"/>
    <n v="34.71875"/>
    <n v="34.9375"/>
    <n v="34.09375"/>
    <x v="2030"/>
    <n v="21.775023000000001"/>
    <n v="38107400"/>
  </r>
  <r>
    <x v="3640"/>
    <n v="35.09375"/>
    <n v="35.5625"/>
    <n v="34.875"/>
    <x v="2031"/>
    <n v="22.050667000000001"/>
    <n v="52741800"/>
  </r>
  <r>
    <x v="3641"/>
    <n v="35.03125"/>
    <n v="37.34375"/>
    <n v="35"/>
    <x v="1989"/>
    <n v="23.350088"/>
    <n v="138038800"/>
  </r>
  <r>
    <x v="3642"/>
    <n v="36.875"/>
    <n v="37.4375"/>
    <n v="36.5625"/>
    <x v="2032"/>
    <n v="23.389444000000001"/>
    <n v="63945600"/>
  </r>
  <r>
    <x v="3643"/>
    <n v="36.90625"/>
    <n v="37.03125"/>
    <n v="35.875"/>
    <x v="2033"/>
    <n v="22.877558000000001"/>
    <n v="48986000"/>
  </r>
  <r>
    <x v="3644"/>
    <n v="36.21875"/>
    <n v="36.34375"/>
    <n v="35.8125"/>
    <x v="2034"/>
    <n v="22.818501000000001"/>
    <n v="35629600"/>
  </r>
  <r>
    <x v="3645"/>
    <n v="36.15625"/>
    <n v="36.6875"/>
    <n v="35.6875"/>
    <x v="2035"/>
    <n v="22.739742"/>
    <n v="53427000"/>
  </r>
  <r>
    <x v="3646"/>
    <n v="36"/>
    <n v="36.5"/>
    <n v="35.75"/>
    <x v="2036"/>
    <n v="22.562555"/>
    <n v="40714200"/>
  </r>
  <r>
    <x v="3647"/>
    <n v="35.9375"/>
    <n v="36.125"/>
    <n v="35.28125"/>
    <x v="2037"/>
    <n v="22.365680999999999"/>
    <n v="44976200"/>
  </r>
  <r>
    <x v="3648"/>
    <n v="35.5625"/>
    <n v="36"/>
    <n v="35.28125"/>
    <x v="2038"/>
    <n v="22.542866"/>
    <n v="36112800"/>
  </r>
  <r>
    <x v="3649"/>
    <n v="35.5625"/>
    <n v="35.71875"/>
    <n v="35"/>
    <x v="2037"/>
    <n v="22.365680999999999"/>
    <n v="54438800"/>
  </r>
  <r>
    <x v="3650"/>
    <n v="35.34375"/>
    <n v="35.40625"/>
    <n v="35.03125"/>
    <x v="2039"/>
    <n v="22.247551000000001"/>
    <n v="34119600"/>
  </r>
  <r>
    <x v="3651"/>
    <n v="35.40625"/>
    <n v="36.21875"/>
    <n v="35.109375"/>
    <x v="2040"/>
    <n v="22.444427000000001"/>
    <n v="54428200"/>
  </r>
  <r>
    <x v="3652"/>
    <n v="35.40625"/>
    <n v="35.5625"/>
    <n v="35.1875"/>
    <x v="2041"/>
    <n v="22.286923999999999"/>
    <n v="36726800"/>
  </r>
  <r>
    <x v="3653"/>
    <n v="35.3125"/>
    <n v="35.59375"/>
    <n v="34.96875"/>
    <x v="2001"/>
    <n v="22.405045000000001"/>
    <n v="42405400"/>
  </r>
  <r>
    <x v="3654"/>
    <n v="35.34375"/>
    <n v="35.84375"/>
    <n v="35.28125"/>
    <x v="2039"/>
    <n v="22.247551000000001"/>
    <n v="52729400"/>
  </r>
  <r>
    <x v="3655"/>
    <n v="35.09375"/>
    <n v="36.0625"/>
    <n v="35.0625"/>
    <x v="2042"/>
    <n v="22.464123000000001"/>
    <n v="56421600"/>
  </r>
  <r>
    <x v="3656"/>
    <n v="35.59375"/>
    <n v="36.375"/>
    <n v="35.4375"/>
    <x v="2043"/>
    <n v="22.345984000000001"/>
    <n v="59400200"/>
  </r>
  <r>
    <x v="3657"/>
    <n v="35.34375"/>
    <n v="35.46875"/>
    <n v="34.84375"/>
    <x v="2031"/>
    <n v="22.050667000000001"/>
    <n v="53498800"/>
  </r>
  <r>
    <x v="3658"/>
    <n v="35.4375"/>
    <n v="36"/>
    <n v="34.84375"/>
    <x v="1995"/>
    <n v="21.991589999999999"/>
    <n v="72575400"/>
  </r>
  <r>
    <x v="3659"/>
    <n v="35"/>
    <n v="35.3125"/>
    <n v="34.84375"/>
    <x v="2044"/>
    <n v="22.109729999999999"/>
    <n v="37629800"/>
  </r>
  <r>
    <x v="3660"/>
    <n v="35"/>
    <n v="35.34375"/>
    <n v="34.90625"/>
    <x v="2045"/>
    <n v="22.090042"/>
    <n v="50755200"/>
  </r>
  <r>
    <x v="3661"/>
    <n v="35.03125"/>
    <n v="35.34375"/>
    <n v="34.65625"/>
    <x v="2046"/>
    <n v="21.873472"/>
    <n v="62960800"/>
  </r>
  <r>
    <x v="3662"/>
    <n v="35"/>
    <n v="36.03125"/>
    <n v="34.71875"/>
    <x v="2047"/>
    <n v="22.070347000000002"/>
    <n v="111711200"/>
  </r>
  <r>
    <x v="3663"/>
    <n v="35.1875"/>
    <n v="35.4375"/>
    <n v="34.59375"/>
    <x v="2048"/>
    <n v="21.834097"/>
    <n v="56709600"/>
  </r>
  <r>
    <x v="3664"/>
    <n v="34.5625"/>
    <n v="34.84375"/>
    <n v="34.03125"/>
    <x v="2005"/>
    <n v="21.676580000000001"/>
    <n v="48495200"/>
  </r>
  <r>
    <x v="3665"/>
    <n v="34.375"/>
    <n v="34.65625"/>
    <n v="33.8125"/>
    <x v="2049"/>
    <n v="21.460011000000002"/>
    <n v="46781200"/>
  </r>
  <r>
    <x v="3666"/>
    <n v="33.78125"/>
    <n v="34.375"/>
    <n v="33.59375"/>
    <x v="2050"/>
    <n v="21.499393000000001"/>
    <n v="40744800"/>
  </r>
  <r>
    <x v="3667"/>
    <n v="34.34375"/>
    <n v="34.375"/>
    <n v="32.84375"/>
    <x v="2051"/>
    <n v="20.731563999999999"/>
    <n v="78503000"/>
  </r>
  <r>
    <x v="3668"/>
    <n v="32.71875"/>
    <n v="32.8125"/>
    <n v="31.65625"/>
    <x v="2008"/>
    <n v="20.219669"/>
    <n v="99915200"/>
  </r>
  <r>
    <x v="3669"/>
    <n v="32.125"/>
    <n v="32.3125"/>
    <n v="31.09375"/>
    <x v="2052"/>
    <n v="19.845592"/>
    <n v="69037800"/>
  </r>
  <r>
    <x v="3670"/>
    <n v="31.8125"/>
    <n v="32.875"/>
    <n v="31.6875"/>
    <x v="2053"/>
    <n v="20.475612999999999"/>
    <n v="79311200"/>
  </r>
  <r>
    <x v="3671"/>
    <n v="32.4375"/>
    <n v="32.5"/>
    <n v="31.59375"/>
    <x v="2054"/>
    <n v="20.239355"/>
    <n v="67791400"/>
  </r>
  <r>
    <x v="3672"/>
    <n v="32"/>
    <n v="32.5625"/>
    <n v="31.78125"/>
    <x v="2008"/>
    <n v="20.219669"/>
    <n v="48952200"/>
  </r>
  <r>
    <x v="3673"/>
    <n v="30.5625"/>
    <n v="31.75"/>
    <n v="30.5"/>
    <x v="2055"/>
    <n v="19.924343"/>
    <n v="84476600"/>
  </r>
  <r>
    <x v="3674"/>
    <n v="31.625"/>
    <n v="31.75"/>
    <n v="30.21875"/>
    <x v="2056"/>
    <n v="19.294326999999999"/>
    <n v="53484200"/>
  </r>
  <r>
    <x v="3675"/>
    <n v="30.46875"/>
    <n v="32.9375"/>
    <n v="30.21875"/>
    <x v="2057"/>
    <n v="19.747153999999998"/>
    <n v="155704800"/>
  </r>
  <r>
    <x v="3676"/>
    <n v="31.71875"/>
    <n v="31.78125"/>
    <n v="29.90625"/>
    <x v="2058"/>
    <n v="19.097448"/>
    <n v="106155600"/>
  </r>
  <r>
    <x v="3677"/>
    <n v="30.40625"/>
    <n v="30.9375"/>
    <n v="30.3125"/>
    <x v="2059"/>
    <n v="19.314018000000001"/>
    <n v="52360400"/>
  </r>
  <r>
    <x v="3678"/>
    <n v="30.5"/>
    <n v="30.65625"/>
    <n v="29.3125"/>
    <x v="2060"/>
    <n v="18.999006000000001"/>
    <n v="74053600"/>
  </r>
  <r>
    <x v="3679"/>
    <n v="30.25"/>
    <n v="30.40625"/>
    <n v="29.125"/>
    <x v="2061"/>
    <n v="18.624931"/>
    <n v="58562400"/>
  </r>
  <r>
    <x v="3680"/>
    <n v="29.78125"/>
    <n v="29.90625"/>
    <n v="28.25"/>
    <x v="2062"/>
    <n v="17.817723999999998"/>
    <n v="85374000"/>
  </r>
  <r>
    <x v="3681"/>
    <n v="28.1875"/>
    <n v="28.28125"/>
    <n v="27.25"/>
    <x v="2063"/>
    <n v="17.463336999999999"/>
    <n v="136453400"/>
  </r>
  <r>
    <x v="3682"/>
    <n v="27.75"/>
    <n v="28.625"/>
    <n v="27.625"/>
    <x v="2064"/>
    <n v="17.443653000000001"/>
    <n v="81099400"/>
  </r>
  <r>
    <x v="3683"/>
    <n v="27.90625"/>
    <n v="28.375"/>
    <n v="27.375"/>
    <x v="2065"/>
    <n v="17.502704999999999"/>
    <n v="61794000"/>
  </r>
  <r>
    <x v="3684"/>
    <n v="27.8125"/>
    <n v="27.875"/>
    <n v="26.5"/>
    <x v="1621"/>
    <n v="17.069579999999998"/>
    <n v="58323600"/>
  </r>
  <r>
    <x v="3685"/>
    <n v="26.96875"/>
    <n v="27.78125"/>
    <n v="26.90625"/>
    <x v="2066"/>
    <n v="17.187702000000002"/>
    <n v="62066200"/>
  </r>
  <r>
    <x v="3686"/>
    <n v="27"/>
    <n v="28.46875"/>
    <n v="27"/>
    <x v="2067"/>
    <n v="17.561779000000001"/>
    <n v="101205800"/>
  </r>
  <r>
    <x v="3687"/>
    <n v="28.15625"/>
    <n v="28.4375"/>
    <n v="26.90625"/>
    <x v="1702"/>
    <n v="17.128643"/>
    <n v="90219600"/>
  </r>
  <r>
    <x v="3688"/>
    <n v="26.9375"/>
    <n v="27.4375"/>
    <n v="26.0625"/>
    <x v="2068"/>
    <n v="16.931761000000002"/>
    <n v="104521200"/>
  </r>
  <r>
    <x v="3689"/>
    <n v="26.75"/>
    <n v="26.90625"/>
    <n v="24.78125"/>
    <x v="1616"/>
    <n v="15.868600000000001"/>
    <n v="119759000"/>
  </r>
  <r>
    <x v="3690"/>
    <n v="25.9375"/>
    <n v="26.21875"/>
    <n v="25.125"/>
    <x v="2069"/>
    <n v="15.888287999999999"/>
    <n v="81276600"/>
  </r>
  <r>
    <x v="3691"/>
    <n v="24.8125"/>
    <n v="26.625"/>
    <n v="24.21875"/>
    <x v="2070"/>
    <n v="16.301742999999998"/>
    <n v="110536400"/>
  </r>
  <r>
    <x v="3692"/>
    <n v="29.21875"/>
    <n v="31.09375"/>
    <n v="29"/>
    <x v="2071"/>
    <n v="19.491205000000001"/>
    <n v="256993200"/>
  </r>
  <r>
    <x v="3693"/>
    <n v="30.65625"/>
    <n v="33.0625"/>
    <n v="30.5625"/>
    <x v="2072"/>
    <n v="20.534680999999999"/>
    <n v="160378600"/>
  </r>
  <r>
    <x v="3694"/>
    <n v="32.3125"/>
    <n v="33.125"/>
    <n v="30.34375"/>
    <x v="1709"/>
    <n v="19.569963000000001"/>
    <n v="185170400"/>
  </r>
  <r>
    <x v="3695"/>
    <n v="31.3125"/>
    <n v="31.46875"/>
    <n v="30.09375"/>
    <x v="2011"/>
    <n v="19.373080999999999"/>
    <n v="94427400"/>
  </r>
  <r>
    <x v="3696"/>
    <n v="30.96875"/>
    <n v="31.71875"/>
    <n v="30.21875"/>
    <x v="2056"/>
    <n v="19.294326999999999"/>
    <n v="167603800"/>
  </r>
  <r>
    <x v="3697"/>
    <n v="30.5"/>
    <n v="32.53125"/>
    <n v="30.40625"/>
    <x v="2073"/>
    <n v="20.29842"/>
    <n v="114826600"/>
  </r>
  <r>
    <x v="3698"/>
    <n v="32.34375"/>
    <n v="34.59375"/>
    <n v="32.3125"/>
    <x v="2006"/>
    <n v="21.322202999999998"/>
    <n v="124292400"/>
  </r>
  <r>
    <x v="3699"/>
    <n v="33.75"/>
    <n v="35.0625"/>
    <n v="33.6875"/>
    <x v="2074"/>
    <n v="21.755344000000001"/>
    <n v="110057600"/>
  </r>
  <r>
    <x v="3700"/>
    <n v="34.5"/>
    <n v="34.75"/>
    <n v="34"/>
    <x v="2075"/>
    <n v="21.696280999999999"/>
    <n v="104474000"/>
  </r>
  <r>
    <x v="3701"/>
    <n v="34.25"/>
    <n v="35.03125"/>
    <n v="34.21875"/>
    <x v="2016"/>
    <n v="21.932535000000001"/>
    <n v="81309400"/>
  </r>
  <r>
    <x v="3702"/>
    <n v="35.1875"/>
    <n v="35.421875"/>
    <n v="34.8125"/>
    <x v="2076"/>
    <n v="22.149099"/>
    <n v="77985200"/>
  </r>
  <r>
    <x v="3703"/>
    <n v="34.625"/>
    <n v="34.8125"/>
    <n v="34.03125"/>
    <x v="2050"/>
    <n v="21.499393000000001"/>
    <n v="68711000"/>
  </r>
  <r>
    <x v="3704"/>
    <n v="34.34375"/>
    <n v="35.0625"/>
    <n v="34.125"/>
    <x v="1732"/>
    <n v="21.893162"/>
    <n v="74851400"/>
  </r>
  <r>
    <x v="3705"/>
    <n v="34.875"/>
    <n v="35.9375"/>
    <n v="34.75"/>
    <x v="1734"/>
    <n v="22.208168000000001"/>
    <n v="104331200"/>
  </r>
  <r>
    <x v="3706"/>
    <n v="35.5625"/>
    <n v="36.1875"/>
    <n v="34"/>
    <x v="2046"/>
    <n v="21.873472"/>
    <n v="206149400"/>
  </r>
  <r>
    <x v="3707"/>
    <n v="34.25"/>
    <n v="35.65625"/>
    <n v="34.21875"/>
    <x v="1729"/>
    <n v="22.326298000000001"/>
    <n v="91058600"/>
  </r>
  <r>
    <x v="3708"/>
    <n v="34.96875"/>
    <n v="35.15625"/>
    <n v="33.40625"/>
    <x v="2077"/>
    <n v="21.223759000000001"/>
    <n v="93744400"/>
  </r>
  <r>
    <x v="3709"/>
    <n v="33.34375"/>
    <n v="34.0625"/>
    <n v="32.203125"/>
    <x v="2078"/>
    <n v="20.928446000000001"/>
    <n v="83364800"/>
  </r>
  <r>
    <x v="3710"/>
    <n v="34"/>
    <n v="34.90625"/>
    <n v="33.65625"/>
    <x v="2005"/>
    <n v="21.676580000000001"/>
    <n v="84218600"/>
  </r>
  <r>
    <x v="3711"/>
    <n v="34.53125"/>
    <n v="35.4375"/>
    <n v="34.34375"/>
    <x v="2047"/>
    <n v="22.070347000000002"/>
    <n v="60422200"/>
  </r>
  <r>
    <x v="3712"/>
    <n v="34.71875"/>
    <n v="35.75"/>
    <n v="34.46875"/>
    <x v="2079"/>
    <n v="21.715966999999999"/>
    <n v="92128600"/>
  </r>
  <r>
    <x v="3713"/>
    <n v="34.71875"/>
    <n v="35"/>
    <n v="33.898437999999999"/>
    <x v="2074"/>
    <n v="21.755344000000001"/>
    <n v="106525600"/>
  </r>
  <r>
    <x v="3714"/>
    <n v="34.0625"/>
    <n v="34.25"/>
    <n v="32.78125"/>
    <x v="1724"/>
    <n v="21.164698000000001"/>
    <n v="80157200"/>
  </r>
  <r>
    <x v="3715"/>
    <n v="33.6875"/>
    <n v="34.625"/>
    <n v="33.6875"/>
    <x v="2080"/>
    <n v="21.341894"/>
    <n v="59487600"/>
  </r>
  <r>
    <x v="3716"/>
    <n v="33.03125"/>
    <n v="34.75"/>
    <n v="33"/>
    <x v="2050"/>
    <n v="21.499393000000001"/>
    <n v="76343200"/>
  </r>
  <r>
    <x v="3717"/>
    <n v="34.5"/>
    <n v="35.21875"/>
    <n v="34.25"/>
    <x v="2081"/>
    <n v="22.030977"/>
    <n v="34439200"/>
  </r>
  <r>
    <x v="3718"/>
    <n v="35.71875"/>
    <n v="36.125"/>
    <n v="35.3125"/>
    <x v="2082"/>
    <n v="22.267226999999998"/>
    <n v="85307600"/>
  </r>
  <r>
    <x v="3719"/>
    <n v="34.6875"/>
    <n v="34.875"/>
    <n v="33.40625"/>
    <x v="1720"/>
    <n v="21.105637000000002"/>
    <n v="127446200"/>
  </r>
  <r>
    <x v="3720"/>
    <n v="33.40625"/>
    <n v="33.5625"/>
    <n v="31.625"/>
    <x v="2007"/>
    <n v="20.495305999999999"/>
    <n v="98280400"/>
  </r>
  <r>
    <x v="3721"/>
    <n v="31"/>
    <n v="31.03125"/>
    <n v="28.5"/>
    <x v="2083"/>
    <n v="18.073665999999999"/>
    <n v="197200800"/>
  </r>
  <r>
    <x v="3722"/>
    <n v="29.03125"/>
    <n v="30.3125"/>
    <n v="28.03125"/>
    <x v="2084"/>
    <n v="17.837408"/>
    <n v="109809800"/>
  </r>
  <r>
    <x v="3723"/>
    <n v="28.625"/>
    <n v="29.5"/>
    <n v="27.59375"/>
    <x v="1676"/>
    <n v="17.778343"/>
    <n v="80407200"/>
  </r>
  <r>
    <x v="3724"/>
    <n v="29.59375"/>
    <n v="30.25"/>
    <n v="29.125"/>
    <x v="2085"/>
    <n v="18.861189"/>
    <n v="101734400"/>
  </r>
  <r>
    <x v="3725"/>
    <n v="30"/>
    <n v="30.03125"/>
    <n v="28.03125"/>
    <x v="2086"/>
    <n v="17.857092000000002"/>
    <n v="90560800"/>
  </r>
  <r>
    <x v="3726"/>
    <n v="26.71875"/>
    <n v="27"/>
    <n v="26.125"/>
    <x v="2087"/>
    <n v="16.734878999999999"/>
    <n v="145308400"/>
  </r>
  <r>
    <x v="3727"/>
    <n v="27.3125"/>
    <n v="27.9375"/>
    <n v="26.71875"/>
    <x v="2088"/>
    <n v="17.148330999999999"/>
    <n v="120939800"/>
  </r>
  <r>
    <x v="3728"/>
    <n v="27.75"/>
    <n v="29.375"/>
    <n v="27.5"/>
    <x v="2089"/>
    <n v="18.290239"/>
    <n v="95576200"/>
  </r>
  <r>
    <x v="3729"/>
    <n v="28.90625"/>
    <n v="30"/>
    <n v="28.375"/>
    <x v="1635"/>
    <n v="18.388674000000002"/>
    <n v="63106000"/>
  </r>
  <r>
    <x v="3730"/>
    <n v="30.25"/>
    <n v="30.25"/>
    <n v="28.40625"/>
    <x v="2090"/>
    <n v="18.034292000000001"/>
    <n v="98360400"/>
  </r>
  <r>
    <x v="3731"/>
    <n v="28.96875"/>
    <n v="29.367187999999999"/>
    <n v="27.6875"/>
    <x v="1627"/>
    <n v="17.483021000000001"/>
    <n v="71201400"/>
  </r>
  <r>
    <x v="3732"/>
    <n v="25.523437999999999"/>
    <n v="26"/>
    <n v="23.875"/>
    <x v="2091"/>
    <n v="15.494528000000001"/>
    <n v="116899800"/>
  </r>
  <r>
    <x v="3733"/>
    <n v="24.5"/>
    <n v="25"/>
    <n v="23.5"/>
    <x v="2092"/>
    <n v="15.061391"/>
    <n v="107187400"/>
  </r>
  <r>
    <x v="3734"/>
    <n v="23.71875"/>
    <n v="24"/>
    <n v="22.25"/>
    <x v="1589"/>
    <n v="14.11636"/>
    <n v="120271800"/>
  </r>
  <r>
    <x v="3735"/>
    <n v="21.40625"/>
    <n v="22"/>
    <n v="20.6875"/>
    <x v="2093"/>
    <n v="13.072891"/>
    <n v="149037800"/>
  </r>
  <r>
    <x v="3736"/>
    <n v="20.375"/>
    <n v="22.5625"/>
    <n v="20.15625"/>
    <x v="2094"/>
    <n v="13.683217000000001"/>
    <n v="163173000"/>
  </r>
  <r>
    <x v="3737"/>
    <n v="22.375"/>
    <n v="23.5625"/>
    <n v="22.375"/>
    <x v="2095"/>
    <n v="14.628256"/>
    <n v="109551800"/>
  </r>
  <r>
    <x v="3738"/>
    <n v="23.4375"/>
    <n v="24.28125"/>
    <n v="22.9375"/>
    <x v="2096"/>
    <n v="14.766068000000001"/>
    <n v="66941600"/>
  </r>
  <r>
    <x v="3739"/>
    <n v="23.0625"/>
    <n v="23.40625"/>
    <n v="22.5"/>
    <x v="2095"/>
    <n v="14.628256"/>
    <n v="69003800"/>
  </r>
  <r>
    <x v="3740"/>
    <n v="22.5625"/>
    <n v="23.125"/>
    <n v="21.9375"/>
    <x v="2097"/>
    <n v="14.037611999999999"/>
    <n v="77619200"/>
  </r>
  <r>
    <x v="3741"/>
    <n v="21.96875"/>
    <n v="22.90625"/>
    <n v="21.5"/>
    <x v="2098"/>
    <n v="13.66353"/>
    <n v="99977600"/>
  </r>
  <r>
    <x v="3742"/>
    <n v="22.0625"/>
    <n v="22.5"/>
    <n v="21.4375"/>
    <x v="2098"/>
    <n v="13.66353"/>
    <n v="82413200"/>
  </r>
  <r>
    <x v="3743"/>
    <n v="21.59375"/>
    <n v="24.4375"/>
    <n v="21.5625"/>
    <x v="2099"/>
    <n v="15.100775000000001"/>
    <n v="135962200"/>
  </r>
  <r>
    <x v="3744"/>
    <n v="23.90625"/>
    <n v="25.25"/>
    <n v="23.4375"/>
    <x v="1683"/>
    <n v="15.258266000000001"/>
    <n v="112397000"/>
  </r>
  <r>
    <x v="3745"/>
    <n v="24.25"/>
    <n v="24.9375"/>
    <n v="23.78125"/>
    <x v="2100"/>
    <n v="15.474838"/>
    <n v="93414600"/>
  </r>
  <r>
    <x v="3746"/>
    <n v="24.46875"/>
    <n v="24.875"/>
    <n v="23.34375"/>
    <x v="2101"/>
    <n v="15.41577"/>
    <n v="79817600"/>
  </r>
  <r>
    <x v="3747"/>
    <n v="25"/>
    <n v="26.3125"/>
    <n v="24.875"/>
    <x v="2102"/>
    <n v="16.321434"/>
    <n v="114965400"/>
  </r>
  <r>
    <x v="3748"/>
    <n v="25.5"/>
    <n v="26.90625"/>
    <n v="25.375"/>
    <x v="2103"/>
    <n v="16.656122"/>
    <n v="90230200"/>
  </r>
  <r>
    <x v="3749"/>
    <n v="26.5"/>
    <n v="27.875"/>
    <n v="26.15625"/>
    <x v="1691"/>
    <n v="17.325520000000001"/>
    <n v="101854800"/>
  </r>
  <r>
    <x v="3750"/>
    <n v="27.4375"/>
    <n v="27.5"/>
    <n v="26.25"/>
    <x v="2104"/>
    <n v="16.853000999999999"/>
    <n v="73712000"/>
  </r>
  <r>
    <x v="3751"/>
    <n v="26.6875"/>
    <n v="26.75"/>
    <n v="25.5625"/>
    <x v="2105"/>
    <n v="16.557691999999999"/>
    <n v="68462400"/>
  </r>
  <r>
    <x v="3752"/>
    <n v="26.8125"/>
    <n v="27.4375"/>
    <n v="26.28125"/>
    <x v="1646"/>
    <n v="16.675813999999999"/>
    <n v="72844200"/>
  </r>
  <r>
    <x v="3753"/>
    <n v="26.84375"/>
    <n v="28.09375"/>
    <n v="26.3125"/>
    <x v="1627"/>
    <n v="17.483021000000001"/>
    <n v="109788800"/>
  </r>
  <r>
    <x v="3754"/>
    <n v="30"/>
    <n v="30.71875"/>
    <n v="29.4375"/>
    <x v="1711"/>
    <n v="19.215578000000001"/>
    <n v="209348800"/>
  </r>
  <r>
    <x v="3755"/>
    <n v="30.375"/>
    <n v="30.5"/>
    <n v="29.5"/>
    <x v="2106"/>
    <n v="18.939938999999999"/>
    <n v="76673000"/>
  </r>
  <r>
    <x v="3756"/>
    <n v="29.875"/>
    <n v="30.46875"/>
    <n v="29.46875"/>
    <x v="2107"/>
    <n v="19.077764999999999"/>
    <n v="70295200"/>
  </r>
  <r>
    <x v="3757"/>
    <n v="30.5"/>
    <n v="31.71875"/>
    <n v="30.375"/>
    <x v="2108"/>
    <n v="19.825903"/>
    <n v="110455000"/>
  </r>
  <r>
    <x v="3758"/>
    <n v="31.375"/>
    <n v="32"/>
    <n v="30.78125"/>
    <x v="2109"/>
    <n v="19.471525"/>
    <n v="85657400"/>
  </r>
  <r>
    <x v="3759"/>
    <n v="30.5"/>
    <n v="32.15625"/>
    <n v="30.5"/>
    <x v="2110"/>
    <n v="20.160602999999998"/>
    <n v="93080000"/>
  </r>
  <r>
    <x v="3760"/>
    <n v="31.78125"/>
    <n v="32.3125"/>
    <n v="31.75"/>
    <x v="2111"/>
    <n v="20.318114999999999"/>
    <n v="84983800"/>
  </r>
  <r>
    <x v="3761"/>
    <n v="32.25"/>
    <n v="32.375"/>
    <n v="31.4375"/>
    <x v="1713"/>
    <n v="19.963726000000001"/>
    <n v="57276800"/>
  </r>
  <r>
    <x v="3762"/>
    <n v="31.5"/>
    <n v="31.875"/>
    <n v="30.5"/>
    <x v="1714"/>
    <n v="19.235258000000002"/>
    <n v="81898800"/>
  </r>
  <r>
    <x v="3763"/>
    <n v="30.40625"/>
    <n v="31.3125"/>
    <n v="30.1875"/>
    <x v="2112"/>
    <n v="19.648720000000001"/>
    <n v="71792800"/>
  </r>
  <r>
    <x v="3764"/>
    <n v="31.25"/>
    <n v="31.6875"/>
    <n v="30.375"/>
    <x v="2113"/>
    <n v="19.156517000000001"/>
    <n v="71100000"/>
  </r>
  <r>
    <x v="3765"/>
    <n v="30.375"/>
    <n v="31.03125"/>
    <n v="30.125"/>
    <x v="2114"/>
    <n v="19.510898999999998"/>
    <n v="51399200"/>
  </r>
  <r>
    <x v="3766"/>
    <n v="31.03125"/>
    <n v="31.90625"/>
    <n v="30.84375"/>
    <x v="2013"/>
    <n v="19.707778999999999"/>
    <n v="96442000"/>
  </r>
  <r>
    <x v="3767"/>
    <n v="31"/>
    <n v="32.53125"/>
    <n v="30.90625"/>
    <x v="2115"/>
    <n v="20.377184"/>
    <n v="126061800"/>
  </r>
  <r>
    <x v="3768"/>
    <n v="31.875"/>
    <n v="32.25"/>
    <n v="31"/>
    <x v="2116"/>
    <n v="19.609344"/>
    <n v="88041200"/>
  </r>
  <r>
    <x v="3769"/>
    <n v="30.65625"/>
    <n v="30.78125"/>
    <n v="29.25"/>
    <x v="2061"/>
    <n v="18.624931"/>
    <n v="100575200"/>
  </r>
  <r>
    <x v="3770"/>
    <n v="29.40625"/>
    <n v="29.71875"/>
    <n v="28.59375"/>
    <x v="2117"/>
    <n v="18.506805"/>
    <n v="71289400"/>
  </r>
  <r>
    <x v="3771"/>
    <n v="29.8125"/>
    <n v="30.53125"/>
    <n v="29.0625"/>
    <x v="2118"/>
    <n v="18.329616999999999"/>
    <n v="76070600"/>
  </r>
  <r>
    <x v="3772"/>
    <n v="28.8125"/>
    <n v="29.5"/>
    <n v="28.1875"/>
    <x v="1635"/>
    <n v="18.388674000000002"/>
    <n v="61728400"/>
  </r>
  <r>
    <x v="3773"/>
    <n v="29.5"/>
    <n v="30.09375"/>
    <n v="28.9375"/>
    <x v="2119"/>
    <n v="18.526491"/>
    <n v="65627800"/>
  </r>
  <r>
    <x v="3774"/>
    <n v="28.5"/>
    <n v="29.125"/>
    <n v="28.0625"/>
    <x v="2120"/>
    <n v="18.053982000000001"/>
    <n v="66958400"/>
  </r>
  <r>
    <x v="3775"/>
    <n v="28.6875"/>
    <n v="29.125"/>
    <n v="27.6875"/>
    <x v="1706"/>
    <n v="17.601151000000002"/>
    <n v="60730800"/>
  </r>
  <r>
    <x v="3776"/>
    <n v="27.625"/>
    <n v="29.03125"/>
    <n v="27.59375"/>
    <x v="2121"/>
    <n v="17.719287999999999"/>
    <n v="63947200"/>
  </r>
  <r>
    <x v="3777"/>
    <n v="28.15625"/>
    <n v="28.40625"/>
    <n v="26.9375"/>
    <x v="1656"/>
    <n v="17.384581000000001"/>
    <n v="100816400"/>
  </r>
  <r>
    <x v="3778"/>
    <n v="27.21875"/>
    <n v="28.75"/>
    <n v="27.15625"/>
    <x v="2122"/>
    <n v="17.876783"/>
    <n v="92620600"/>
  </r>
  <r>
    <x v="3779"/>
    <n v="28.8125"/>
    <n v="29.96875"/>
    <n v="28.6875"/>
    <x v="2123"/>
    <n v="18.762748999999999"/>
    <n v="87936800"/>
  </r>
  <r>
    <x v="3780"/>
    <n v="29.6875"/>
    <n v="30.59375"/>
    <n v="29.335937999999999"/>
    <x v="2124"/>
    <n v="18.703688"/>
    <n v="99148600"/>
  </r>
  <r>
    <x v="3781"/>
    <n v="29.78125"/>
    <n v="30.039062999999999"/>
    <n v="29.09375"/>
    <x v="2125"/>
    <n v="18.585552"/>
    <n v="84608400"/>
  </r>
  <r>
    <x v="3782"/>
    <n v="29.28125"/>
    <n v="29.75"/>
    <n v="28.125"/>
    <x v="2126"/>
    <n v="18.698767"/>
    <n v="81781600"/>
  </r>
  <r>
    <x v="3783"/>
    <n v="28.75"/>
    <n v="29.0625"/>
    <n v="28.21875"/>
    <x v="2086"/>
    <n v="17.857092000000002"/>
    <n v="79800800"/>
  </r>
  <r>
    <x v="3784"/>
    <n v="28.625"/>
    <n v="29.3125"/>
    <n v="28.28125"/>
    <x v="2127"/>
    <n v="18.093359"/>
    <n v="49383600"/>
  </r>
  <r>
    <x v="3785"/>
    <n v="29.3125"/>
    <n v="30"/>
    <n v="29.1875"/>
    <x v="2128"/>
    <n v="18.723372999999999"/>
    <n v="66781800"/>
  </r>
  <r>
    <x v="3786"/>
    <n v="29.9375"/>
    <n v="30.5625"/>
    <n v="29.65625"/>
    <x v="2129"/>
    <n v="19.117134"/>
    <n v="59743600"/>
  </r>
  <r>
    <x v="3787"/>
    <n v="30.15625"/>
    <n v="30.296875"/>
    <n v="29.21875"/>
    <x v="2130"/>
    <n v="18.664315999999999"/>
    <n v="54626000"/>
  </r>
  <r>
    <x v="3788"/>
    <n v="28.96875"/>
    <n v="29.09375"/>
    <n v="27.4375"/>
    <x v="2086"/>
    <n v="17.857092000000002"/>
    <n v="103794400"/>
  </r>
  <r>
    <x v="3789"/>
    <n v="27.34375"/>
    <n v="27.5"/>
    <n v="25.8125"/>
    <x v="2131"/>
    <n v="16.360802"/>
    <n v="114376000"/>
  </r>
  <r>
    <x v="3790"/>
    <n v="26.09375"/>
    <n v="27.375"/>
    <n v="26"/>
    <x v="1621"/>
    <n v="17.069579999999998"/>
    <n v="91035600"/>
  </r>
  <r>
    <x v="3791"/>
    <n v="26.25"/>
    <n v="27.625"/>
    <n v="26.09375"/>
    <x v="2132"/>
    <n v="17.010508000000002"/>
    <n v="90686200"/>
  </r>
  <r>
    <x v="3792"/>
    <n v="27.65625"/>
    <n v="28.039062999999999"/>
    <n v="26.75"/>
    <x v="2133"/>
    <n v="16.912068999999999"/>
    <n v="71638400"/>
  </r>
  <r>
    <x v="3793"/>
    <n v="26.25"/>
    <n v="27.5625"/>
    <n v="26.242187999999999"/>
    <x v="2066"/>
    <n v="17.187702000000002"/>
    <n v="112848800"/>
  </r>
  <r>
    <x v="3794"/>
    <n v="27.25"/>
    <n v="27.75"/>
    <n v="26.5625"/>
    <x v="2134"/>
    <n v="17.108946"/>
    <n v="61036400"/>
  </r>
  <r>
    <x v="3795"/>
    <n v="27.28125"/>
    <n v="28.0625"/>
    <n v="26.3125"/>
    <x v="1669"/>
    <n v="16.597066999999999"/>
    <n v="91822800"/>
  </r>
  <r>
    <x v="3796"/>
    <n v="26.125"/>
    <n v="26.625"/>
    <n v="24.875"/>
    <x v="2135"/>
    <n v="15.770159"/>
    <n v="124988600"/>
  </r>
  <r>
    <x v="3797"/>
    <n v="25.28125"/>
    <n v="27.03125"/>
    <n v="25.25"/>
    <x v="2132"/>
    <n v="17.010508000000002"/>
    <n v="126363200"/>
  </r>
  <r>
    <x v="3798"/>
    <n v="27.46875"/>
    <n v="28.5"/>
    <n v="27.1875"/>
    <x v="2062"/>
    <n v="17.817723999999998"/>
    <n v="99519600"/>
  </r>
  <r>
    <x v="3799"/>
    <n v="28.5625"/>
    <n v="28.75"/>
    <n v="27.78125"/>
    <x v="2136"/>
    <n v="17.660221"/>
    <n v="63118600"/>
  </r>
  <r>
    <x v="3800"/>
    <n v="28.03125"/>
    <n v="29.28125"/>
    <n v="27.9375"/>
    <x v="1630"/>
    <n v="18.349304"/>
    <n v="95135600"/>
  </r>
  <r>
    <x v="3801"/>
    <n v="28.6875"/>
    <n v="28.96875"/>
    <n v="27.6875"/>
    <x v="2065"/>
    <n v="17.502704999999999"/>
    <n v="78681600"/>
  </r>
  <r>
    <x v="3802"/>
    <n v="27.6875"/>
    <n v="28.59375"/>
    <n v="27.28125"/>
    <x v="2064"/>
    <n v="17.443653000000001"/>
    <n v="86985000"/>
  </r>
  <r>
    <x v="3803"/>
    <n v="27.875"/>
    <n v="28.09375"/>
    <n v="26.9375"/>
    <x v="1622"/>
    <n v="17.227083"/>
    <n v="91201600"/>
  </r>
  <r>
    <x v="3804"/>
    <n v="27.40625"/>
    <n v="28.46875"/>
    <n v="27.3125"/>
    <x v="2137"/>
    <n v="17.581467"/>
    <n v="75924000"/>
  </r>
  <r>
    <x v="3805"/>
    <n v="27.65625"/>
    <n v="27.65625"/>
    <n v="26.375"/>
    <x v="2138"/>
    <n v="16.813627"/>
    <n v="94187600"/>
  </r>
  <r>
    <x v="3806"/>
    <n v="26.6875"/>
    <n v="27.5"/>
    <n v="25.53125"/>
    <x v="2131"/>
    <n v="16.360802"/>
    <n v="104046600"/>
  </r>
  <r>
    <x v="3807"/>
    <n v="26.875"/>
    <n v="28.6875"/>
    <n v="26.75"/>
    <x v="2122"/>
    <n v="17.876783"/>
    <n v="113364000"/>
  </r>
  <r>
    <x v="3808"/>
    <n v="28.1875"/>
    <n v="28.59375"/>
    <n v="27.53125"/>
    <x v="2139"/>
    <n v="17.699591000000002"/>
    <n v="92622000"/>
  </r>
  <r>
    <x v="3809"/>
    <n v="28.285"/>
    <n v="28.709999"/>
    <n v="27.83"/>
    <x v="2140"/>
    <n v="18.002791999999999"/>
    <n v="56295600"/>
  </r>
  <r>
    <x v="3810"/>
    <n v="28.975000000000001"/>
    <n v="30.045000000000002"/>
    <n v="28.889999"/>
    <x v="2141"/>
    <n v="18.799761"/>
    <n v="109199400"/>
  </r>
  <r>
    <x v="3811"/>
    <n v="30.325001"/>
    <n v="30.75"/>
    <n v="29.85"/>
    <x v="2142"/>
    <n v="18.913166"/>
    <n v="109879600"/>
  </r>
  <r>
    <x v="3812"/>
    <n v="29.780000999999999"/>
    <n v="31.155000999999999"/>
    <n v="29.674999"/>
    <x v="2143"/>
    <n v="19.587288000000001"/>
    <n v="87520000"/>
  </r>
  <r>
    <x v="3813"/>
    <n v="30.700001"/>
    <n v="30.790001"/>
    <n v="30.059999000000001"/>
    <x v="2144"/>
    <n v="19.149425999999998"/>
    <n v="65857400"/>
  </r>
  <r>
    <x v="3814"/>
    <n v="30.26"/>
    <n v="31.055"/>
    <n v="30.02"/>
    <x v="2145"/>
    <n v="19.366776999999999"/>
    <n v="85149200"/>
  </r>
  <r>
    <x v="3815"/>
    <n v="31.695"/>
    <n v="33.154998999999997"/>
    <n v="31.5"/>
    <x v="2146"/>
    <n v="20.611073000000001"/>
    <n v="156696400"/>
  </r>
  <r>
    <x v="3816"/>
    <n v="32.904998999999997"/>
    <n v="34.5"/>
    <n v="32.875"/>
    <x v="2147"/>
    <n v="21.433247000000001"/>
    <n v="159375600"/>
  </r>
  <r>
    <x v="3817"/>
    <n v="35.150002000000001"/>
    <n v="35.549999"/>
    <n v="34.25"/>
    <x v="2027"/>
    <n v="21.735655000000001"/>
    <n v="192919600"/>
  </r>
  <r>
    <x v="3818"/>
    <n v="34.055"/>
    <n v="34.235000999999997"/>
    <n v="33.450001"/>
    <x v="2050"/>
    <n v="21.499393000000001"/>
    <n v="92171200"/>
  </r>
  <r>
    <x v="3819"/>
    <n v="34.099997999999999"/>
    <n v="34.965000000000003"/>
    <n v="33.57"/>
    <x v="2148"/>
    <n v="21.278893"/>
    <n v="89176600"/>
  </r>
  <r>
    <x v="3820"/>
    <n v="33.784999999999997"/>
    <n v="34.895000000000003"/>
    <n v="33.625"/>
    <x v="2149"/>
    <n v="21.953012000000001"/>
    <n v="76744000"/>
  </r>
  <r>
    <x v="3821"/>
    <n v="35.034999999999997"/>
    <n v="35.5"/>
    <n v="34.125"/>
    <x v="2150"/>
    <n v="21.776598"/>
    <n v="118737600"/>
  </r>
  <r>
    <x v="3822"/>
    <n v="34.764999000000003"/>
    <n v="34.840000000000003"/>
    <n v="33.104999999999997"/>
    <x v="2151"/>
    <n v="21.143436000000001"/>
    <n v="121572400"/>
  </r>
  <r>
    <x v="3823"/>
    <n v="34.264999000000003"/>
    <n v="34.529998999999997"/>
    <n v="33.840000000000003"/>
    <x v="2080"/>
    <n v="21.341894"/>
    <n v="74368200"/>
  </r>
  <r>
    <x v="3824"/>
    <n v="33.830002"/>
    <n v="35.150002000000001"/>
    <n v="33.799999"/>
    <x v="2152"/>
    <n v="22.104223000000001"/>
    <n v="83702800"/>
  </r>
  <r>
    <x v="3825"/>
    <n v="35.5"/>
    <n v="35.575001"/>
    <n v="34.674999"/>
    <x v="2153"/>
    <n v="21.975054"/>
    <n v="92864400"/>
  </r>
  <r>
    <x v="3826"/>
    <n v="34.625"/>
    <n v="35.090000000000003"/>
    <n v="34.07"/>
    <x v="2154"/>
    <n v="21.587586999999999"/>
    <n v="66273400"/>
  </r>
  <r>
    <x v="3827"/>
    <n v="34"/>
    <n v="35.525002000000001"/>
    <n v="33.979999999999997"/>
    <x v="2041"/>
    <n v="22.286923999999999"/>
    <n v="119538400"/>
  </r>
  <r>
    <x v="3828"/>
    <n v="35.415000999999997"/>
    <n v="36.075001"/>
    <n v="35.349997999999999"/>
    <x v="2155"/>
    <n v="22.485367"/>
    <n v="109356200"/>
  </r>
  <r>
    <x v="3829"/>
    <n v="35.875"/>
    <n v="36.049999"/>
    <n v="35.375"/>
    <x v="2156"/>
    <n v="22.699573999999998"/>
    <n v="75084000"/>
  </r>
  <r>
    <x v="3830"/>
    <n v="35.619999"/>
    <n v="35.650002000000001"/>
    <n v="34.93"/>
    <x v="2157"/>
    <n v="22.176672"/>
    <n v="76676600"/>
  </r>
  <r>
    <x v="3831"/>
    <n v="35.564999"/>
    <n v="35.619999"/>
    <n v="34.979999999999997"/>
    <x v="2031"/>
    <n v="22.050667000000001"/>
    <n v="64334600"/>
  </r>
  <r>
    <x v="3832"/>
    <n v="34.979999999999997"/>
    <n v="35"/>
    <n v="34.325001"/>
    <x v="2158"/>
    <n v="21.861661999999999"/>
    <n v="51128800"/>
  </r>
  <r>
    <x v="3833"/>
    <n v="34.564999"/>
    <n v="34.599997999999999"/>
    <n v="34.150002000000001"/>
    <x v="2159"/>
    <n v="21.647449000000002"/>
    <n v="44968000"/>
  </r>
  <r>
    <x v="3834"/>
    <n v="34.369999"/>
    <n v="34.650002000000001"/>
    <n v="34"/>
    <x v="2160"/>
    <n v="21.505693000000001"/>
    <n v="61385600"/>
  </r>
  <r>
    <x v="3835"/>
    <n v="33.849997999999999"/>
    <n v="34.939999"/>
    <n v="33.665000999999997"/>
    <x v="2161"/>
    <n v="21.786057"/>
    <n v="91893800"/>
  </r>
  <r>
    <x v="3836"/>
    <n v="34.549999"/>
    <n v="35.07"/>
    <n v="33.775002000000001"/>
    <x v="2162"/>
    <n v="21.474197"/>
    <n v="106984800"/>
  </r>
  <r>
    <x v="3837"/>
    <n v="33.845001000000003"/>
    <n v="34.599997999999999"/>
    <n v="33.625"/>
    <x v="2163"/>
    <n v="21.448992000000001"/>
    <n v="90605400"/>
  </r>
  <r>
    <x v="3838"/>
    <n v="34.025002000000001"/>
    <n v="34.994999"/>
    <n v="33.875"/>
    <x v="2164"/>
    <n v="21.669502000000001"/>
    <n v="103491600"/>
  </r>
  <r>
    <x v="3839"/>
    <n v="34.724997999999999"/>
    <n v="35.174999"/>
    <n v="34.590000000000003"/>
    <x v="2165"/>
    <n v="22.148313999999999"/>
    <n v="83455600"/>
  </r>
  <r>
    <x v="3840"/>
    <n v="35.195"/>
    <n v="35.799999"/>
    <n v="34.755001"/>
    <x v="2166"/>
    <n v="21.956157999999999"/>
    <n v="93637400"/>
  </r>
  <r>
    <x v="3841"/>
    <n v="34.970001000000003"/>
    <n v="35.889999000000003"/>
    <n v="34.634998000000003"/>
    <x v="2167"/>
    <n v="22.592483999999999"/>
    <n v="80781600"/>
  </r>
  <r>
    <x v="3842"/>
    <n v="35.830002"/>
    <n v="35.950001"/>
    <n v="35.18"/>
    <x v="2168"/>
    <n v="22.337326000000001"/>
    <n v="52747600"/>
  </r>
  <r>
    <x v="3843"/>
    <n v="35.400002000000001"/>
    <n v="35.875"/>
    <n v="35.025002000000001"/>
    <x v="2169"/>
    <n v="22.157762999999999"/>
    <n v="71210800"/>
  </r>
  <r>
    <x v="3844"/>
    <n v="34.779998999999997"/>
    <n v="35.290000999999997"/>
    <n v="34.325001"/>
    <x v="2170"/>
    <n v="21.795504000000001"/>
    <n v="86501800"/>
  </r>
  <r>
    <x v="3845"/>
    <n v="34.744999"/>
    <n v="35.189999"/>
    <n v="34.200001"/>
    <x v="2171"/>
    <n v="21.792358"/>
    <n v="70682600"/>
  </r>
  <r>
    <x v="3846"/>
    <n v="34.799999"/>
    <n v="35.349997999999999"/>
    <n v="34.349997999999999"/>
    <x v="2169"/>
    <n v="22.157762999999999"/>
    <n v="57587600"/>
  </r>
  <r>
    <x v="3847"/>
    <n v="35.275002000000001"/>
    <n v="35.509998000000003"/>
    <n v="34.900002000000001"/>
    <x v="2172"/>
    <n v="22.296368000000001"/>
    <n v="43736600"/>
  </r>
  <r>
    <x v="3848"/>
    <n v="35.380001"/>
    <n v="36.540000999999997"/>
    <n v="35.25"/>
    <x v="2173"/>
    <n v="22.869679999999999"/>
    <n v="89454200"/>
  </r>
  <r>
    <x v="3849"/>
    <n v="36.445"/>
    <n v="36.740001999999997"/>
    <n v="35.775002000000001"/>
    <x v="2174"/>
    <n v="22.794086"/>
    <n v="80022800"/>
  </r>
  <r>
    <x v="3850"/>
    <n v="36.060001"/>
    <n v="36.865001999999997"/>
    <n v="36.040000999999997"/>
    <x v="2175"/>
    <n v="23.209892"/>
    <n v="66960000"/>
  </r>
  <r>
    <x v="3851"/>
    <n v="36.849997999999999"/>
    <n v="36.875"/>
    <n v="36.025002000000001"/>
    <x v="2176"/>
    <n v="23.055548000000002"/>
    <n v="51867000"/>
  </r>
  <r>
    <x v="3852"/>
    <n v="36.424999"/>
    <n v="36.424999"/>
    <n v="35.755001"/>
    <x v="2177"/>
    <n v="22.718487"/>
    <n v="47345600"/>
  </r>
  <r>
    <x v="3853"/>
    <n v="35.509998000000003"/>
    <n v="36.205002"/>
    <n v="35.404998999999997"/>
    <x v="2178"/>
    <n v="22.705888999999999"/>
    <n v="66714600"/>
  </r>
  <r>
    <x v="3854"/>
    <n v="36.025002000000001"/>
    <n v="36.150002000000001"/>
    <n v="35.32"/>
    <x v="2179"/>
    <n v="22.268013"/>
    <n v="55302400"/>
  </r>
  <r>
    <x v="3855"/>
    <n v="35.110000999999997"/>
    <n v="35.275002000000001"/>
    <n v="34.200001"/>
    <x v="2180"/>
    <n v="21.704149000000001"/>
    <n v="71972400"/>
  </r>
  <r>
    <x v="3856"/>
    <n v="33.755001"/>
    <n v="34.150002000000001"/>
    <n v="33.200001"/>
    <x v="2181"/>
    <n v="21.426943000000001"/>
    <n v="108354400"/>
  </r>
  <r>
    <x v="3857"/>
    <n v="33.974997999999999"/>
    <n v="33.979999999999997"/>
    <n v="33.005001"/>
    <x v="2182"/>
    <n v="21.067829"/>
    <n v="56846800"/>
  </r>
  <r>
    <x v="3858"/>
    <n v="34.104999999999997"/>
    <n v="34.424999"/>
    <n v="33.424999"/>
    <x v="2183"/>
    <n v="21.206436"/>
    <n v="63457400"/>
  </r>
  <r>
    <x v="3859"/>
    <n v="33.57"/>
    <n v="34.794998"/>
    <n v="33.549999"/>
    <x v="2184"/>
    <n v="21.864809000000001"/>
    <n v="64108400"/>
  </r>
  <r>
    <x v="3860"/>
    <n v="34.575001"/>
    <n v="35.275002000000001"/>
    <n v="34.459999000000003"/>
    <x v="2185"/>
    <n v="22.000254000000002"/>
    <n v="69603800"/>
  </r>
  <r>
    <x v="3861"/>
    <n v="35"/>
    <n v="35.305"/>
    <n v="34.290000999999997"/>
    <x v="2186"/>
    <n v="21.682106000000001"/>
    <n v="51092000"/>
  </r>
  <r>
    <x v="3862"/>
    <n v="34.549999"/>
    <n v="34.904998999999997"/>
    <n v="33.884998000000003"/>
    <x v="2187"/>
    <n v="21.688406000000001"/>
    <n v="49215600"/>
  </r>
  <r>
    <x v="3863"/>
    <n v="33.909999999999997"/>
    <n v="35.104999999999997"/>
    <n v="33.849997999999999"/>
    <x v="2188"/>
    <n v="22.094767000000001"/>
    <n v="63077000"/>
  </r>
  <r>
    <x v="3864"/>
    <n v="34.93"/>
    <n v="35.764999000000003"/>
    <n v="34.68"/>
    <x v="2189"/>
    <n v="22.409770999999999"/>
    <n v="69199800"/>
  </r>
  <r>
    <x v="3865"/>
    <n v="35.775002000000001"/>
    <n v="38.075001"/>
    <n v="35.264999000000003"/>
    <x v="2190"/>
    <n v="22.913789999999999"/>
    <n v="128975600"/>
  </r>
  <r>
    <x v="3866"/>
    <n v="36.299999"/>
    <n v="36.705002"/>
    <n v="35.700001"/>
    <x v="2191"/>
    <n v="22.995695000000001"/>
    <n v="94283800"/>
  </r>
  <r>
    <x v="3867"/>
    <n v="36.025002000000001"/>
    <n v="36.575001"/>
    <n v="35.075001"/>
    <x v="2192"/>
    <n v="22.239668000000002"/>
    <n v="72810200"/>
  </r>
  <r>
    <x v="3868"/>
    <n v="35.150002000000001"/>
    <n v="35.400002000000001"/>
    <n v="34.965000000000003"/>
    <x v="2193"/>
    <n v="22.198723000000001"/>
    <n v="28037400"/>
  </r>
  <r>
    <x v="3869"/>
    <n v="35.110000999999997"/>
    <n v="35.360000999999997"/>
    <n v="34.220001000000003"/>
    <x v="2194"/>
    <n v="21.581301"/>
    <n v="49242600"/>
  </r>
  <r>
    <x v="3870"/>
    <n v="34.150002000000001"/>
    <n v="34.200001"/>
    <n v="32.834999000000003"/>
    <x v="2195"/>
    <n v="20.809522999999999"/>
    <n v="67467800"/>
  </r>
  <r>
    <x v="3871"/>
    <n v="33.099997999999999"/>
    <n v="33.455002"/>
    <n v="32.520000000000003"/>
    <x v="2196"/>
    <n v="20.692976000000002"/>
    <n v="66476600"/>
  </r>
  <r>
    <x v="3872"/>
    <n v="32.950001"/>
    <n v="33.125"/>
    <n v="32.174999"/>
    <x v="2197"/>
    <n v="20.311807999999999"/>
    <n v="66562600"/>
  </r>
  <r>
    <x v="3873"/>
    <n v="32.104999999999997"/>
    <n v="33.375"/>
    <n v="32.099997999999999"/>
    <x v="2198"/>
    <n v="20.948125999999998"/>
    <n v="73822600"/>
  </r>
  <r>
    <x v="3874"/>
    <n v="35.349997999999999"/>
    <n v="36.025002000000001"/>
    <n v="35.165000999999997"/>
    <x v="2199"/>
    <n v="22.554680000000001"/>
    <n v="128078000"/>
  </r>
  <r>
    <x v="3875"/>
    <n v="35.700001"/>
    <n v="36"/>
    <n v="35.470001000000003"/>
    <x v="2200"/>
    <n v="22.472769"/>
    <n v="58934600"/>
  </r>
  <r>
    <x v="3876"/>
    <n v="35.724997999999999"/>
    <n v="36.080002"/>
    <n v="35.075001"/>
    <x v="2201"/>
    <n v="22.422373"/>
    <n v="55990800"/>
  </r>
  <r>
    <x v="3877"/>
    <n v="35.330002"/>
    <n v="36.005001"/>
    <n v="35.07"/>
    <x v="2202"/>
    <n v="22.623992999999999"/>
    <n v="63241000"/>
  </r>
  <r>
    <x v="3878"/>
    <n v="35.299999"/>
    <n v="35.75"/>
    <n v="34.935001"/>
    <x v="2203"/>
    <n v="22.230221"/>
    <n v="57590800"/>
  </r>
  <r>
    <x v="3879"/>
    <n v="35.610000999999997"/>
    <n v="36.5"/>
    <n v="35.610000999999997"/>
    <x v="2204"/>
    <n v="22.860243000000001"/>
    <n v="76549400"/>
  </r>
  <r>
    <x v="3880"/>
    <n v="34.014999000000003"/>
    <n v="34.700001"/>
    <n v="33.970001000000003"/>
    <x v="2171"/>
    <n v="21.792358"/>
    <n v="124203600"/>
  </r>
  <r>
    <x v="3881"/>
    <n v="34.619999"/>
    <n v="34.619999"/>
    <n v="33.174999"/>
    <x v="2205"/>
    <n v="21.133986"/>
    <n v="79999400"/>
  </r>
  <r>
    <x v="3882"/>
    <n v="33.5"/>
    <n v="33.994999"/>
    <n v="32.849997999999999"/>
    <x v="2206"/>
    <n v="20.89143"/>
    <n v="67530200"/>
  </r>
  <r>
    <x v="3883"/>
    <n v="33.130001"/>
    <n v="33.759998000000003"/>
    <n v="32.805"/>
    <x v="2207"/>
    <n v="21.25684"/>
    <n v="74065400"/>
  </r>
  <r>
    <x v="3884"/>
    <n v="33.560001"/>
    <n v="33.659999999999997"/>
    <n v="32.75"/>
    <x v="2208"/>
    <n v="20.976488"/>
    <n v="77974000"/>
  </r>
  <r>
    <x v="3885"/>
    <n v="33.025002000000001"/>
    <n v="33.125"/>
    <n v="32.525002000000001"/>
    <x v="2209"/>
    <n v="20.623674000000001"/>
    <n v="65396000"/>
  </r>
  <r>
    <x v="3886"/>
    <n v="32.825001"/>
    <n v="33.439999"/>
    <n v="32.770000000000003"/>
    <x v="2210"/>
    <n v="20.727616999999999"/>
    <n v="42196400"/>
  </r>
  <r>
    <x v="3887"/>
    <n v="33.005001"/>
    <n v="33.695"/>
    <n v="32.924999"/>
    <x v="2211"/>
    <n v="20.850483000000001"/>
    <n v="59031600"/>
  </r>
  <r>
    <x v="3888"/>
    <n v="33.400002000000001"/>
    <n v="33.404998999999997"/>
    <n v="32.880001"/>
    <x v="2212"/>
    <n v="20.938680999999999"/>
    <n v="55679000"/>
  </r>
  <r>
    <x v="3889"/>
    <n v="33.604999999999997"/>
    <n v="33.770000000000003"/>
    <n v="33.130001"/>
    <x v="2213"/>
    <n v="21.247382999999999"/>
    <n v="54198400"/>
  </r>
  <r>
    <x v="3890"/>
    <n v="33.650002000000001"/>
    <n v="33.68"/>
    <n v="33"/>
    <x v="2214"/>
    <n v="21.070982000000001"/>
    <n v="43260400"/>
  </r>
  <r>
    <x v="3891"/>
    <n v="33.264999000000003"/>
    <n v="33.560001"/>
    <n v="32.840000000000003"/>
    <x v="2215"/>
    <n v="20.831572999999999"/>
    <n v="27831600"/>
  </r>
  <r>
    <x v="3892"/>
    <n v="33.020000000000003"/>
    <n v="33.525002000000001"/>
    <n v="32.994999"/>
    <x v="2216"/>
    <n v="20.900877000000001"/>
    <n v="31347800"/>
  </r>
  <r>
    <x v="3893"/>
    <n v="33.255001"/>
    <n v="33.619999"/>
    <n v="32.244999"/>
    <x v="2217"/>
    <n v="20.431515000000001"/>
    <n v="54996400"/>
  </r>
  <r>
    <x v="3894"/>
    <n v="32.490001999999997"/>
    <n v="32.775002000000001"/>
    <n v="32.150002000000001"/>
    <x v="2218"/>
    <n v="20.478764999999999"/>
    <n v="45536200"/>
  </r>
  <r>
    <x v="3895"/>
    <n v="32.384998000000003"/>
    <n v="32.93"/>
    <n v="31.450001"/>
    <x v="2219"/>
    <n v="20.639417999999999"/>
    <n v="51756400"/>
  </r>
  <r>
    <x v="3896"/>
    <n v="32.619999"/>
    <n v="32.994999"/>
    <n v="32.375"/>
    <x v="2220"/>
    <n v="20.737062000000002"/>
    <n v="32675400"/>
  </r>
  <r>
    <x v="3897"/>
    <n v="32.875"/>
    <n v="33.044998"/>
    <n v="32.224997999999999"/>
    <x v="2221"/>
    <n v="20.377966000000001"/>
    <n v="36481200"/>
  </r>
  <r>
    <x v="3898"/>
    <n v="32.354999999999997"/>
    <n v="32.525002000000001"/>
    <n v="31.6"/>
    <x v="2222"/>
    <n v="19.908595999999999"/>
    <n v="39503000"/>
  </r>
  <r>
    <x v="3899"/>
    <n v="31.42"/>
    <n v="32.354999999999997"/>
    <n v="31.35"/>
    <x v="2223"/>
    <n v="20.355917000000002"/>
    <n v="43905600"/>
  </r>
  <r>
    <x v="3900"/>
    <n v="31.889999"/>
    <n v="32.064999"/>
    <n v="30.75"/>
    <x v="2224"/>
    <n v="19.492788000000001"/>
    <n v="52234200"/>
  </r>
  <r>
    <x v="3901"/>
    <n v="30.83"/>
    <n v="31.375"/>
    <n v="30.549999"/>
    <x v="2225"/>
    <n v="19.751090999999999"/>
    <n v="48371200"/>
  </r>
  <r>
    <x v="3902"/>
    <n v="31.35"/>
    <n v="31.6"/>
    <n v="30.355"/>
    <x v="2226"/>
    <n v="19.146270999999999"/>
    <n v="47111800"/>
  </r>
  <r>
    <x v="3903"/>
    <n v="30.565000999999999"/>
    <n v="30.575001"/>
    <n v="29.540001"/>
    <x v="2227"/>
    <n v="19.108474999999999"/>
    <n v="78107200"/>
  </r>
  <r>
    <x v="3904"/>
    <n v="30.334999"/>
    <n v="30.764999"/>
    <n v="29.5"/>
    <x v="2228"/>
    <n v="18.623360000000002"/>
    <n v="51813200"/>
  </r>
  <r>
    <x v="3905"/>
    <n v="29.799999"/>
    <n v="31.139999"/>
    <n v="29.614999999999998"/>
    <x v="2229"/>
    <n v="19.546337000000001"/>
    <n v="63399000"/>
  </r>
  <r>
    <x v="3906"/>
    <n v="30.950001"/>
    <n v="31.68"/>
    <n v="30.785"/>
    <x v="2230"/>
    <n v="19.628233000000002"/>
    <n v="44562800"/>
  </r>
  <r>
    <x v="3907"/>
    <n v="31.17"/>
    <n v="31.475000000000001"/>
    <n v="30.290001"/>
    <x v="2231"/>
    <n v="19.133671"/>
    <n v="47422800"/>
  </r>
  <r>
    <x v="3908"/>
    <n v="30.524999999999999"/>
    <n v="30.65"/>
    <n v="29.77"/>
    <x v="2232"/>
    <n v="18.979326"/>
    <n v="48170000"/>
  </r>
  <r>
    <x v="3909"/>
    <n v="29.52"/>
    <n v="29.83"/>
    <n v="28.26"/>
    <x v="2233"/>
    <n v="17.936631999999999"/>
    <n v="97632000"/>
  </r>
  <r>
    <x v="3910"/>
    <n v="28.424999"/>
    <n v="29.030000999999999"/>
    <n v="28.15"/>
    <x v="2234"/>
    <n v="17.971288999999999"/>
    <n v="57900800"/>
  </r>
  <r>
    <x v="3911"/>
    <n v="28.594999000000001"/>
    <n v="29.540001"/>
    <n v="28.035"/>
    <x v="2235"/>
    <n v="17.672031"/>
    <n v="67189200"/>
  </r>
  <r>
    <x v="3912"/>
    <n v="28.09"/>
    <n v="29.195"/>
    <n v="27.695"/>
    <x v="2236"/>
    <n v="18.188648000000001"/>
    <n v="89470600"/>
  </r>
  <r>
    <x v="3913"/>
    <n v="28.280000999999999"/>
    <n v="29.195"/>
    <n v="27.950001"/>
    <x v="2237"/>
    <n v="17.646833000000001"/>
    <n v="112356800"/>
  </r>
  <r>
    <x v="3914"/>
    <n v="28.055"/>
    <n v="28.68"/>
    <n v="27.655000999999999"/>
    <x v="2238"/>
    <n v="17.451523000000002"/>
    <n v="89863800"/>
  </r>
  <r>
    <x v="3915"/>
    <n v="27.459999"/>
    <n v="28.975000000000001"/>
    <n v="27.35"/>
    <x v="2239"/>
    <n v="18.138247"/>
    <n v="84471800"/>
  </r>
  <r>
    <x v="3916"/>
    <n v="27.01"/>
    <n v="27.549999"/>
    <n v="26.4"/>
    <x v="2240"/>
    <n v="16.667145000000001"/>
    <n v="127502000"/>
  </r>
  <r>
    <x v="3917"/>
    <n v="26.704999999999998"/>
    <n v="27.5"/>
    <n v="26.584999"/>
    <x v="2241"/>
    <n v="17.111312999999999"/>
    <n v="83182600"/>
  </r>
  <r>
    <x v="3918"/>
    <n v="27.23"/>
    <n v="27.35"/>
    <n v="25.299999"/>
    <x v="2242"/>
    <n v="16.969559"/>
    <n v="126950200"/>
  </r>
  <r>
    <x v="3919"/>
    <n v="26.174999"/>
    <n v="26.305"/>
    <n v="25.334999"/>
    <x v="2243"/>
    <n v="15.989884"/>
    <n v="117983200"/>
  </r>
  <r>
    <x v="3920"/>
    <n v="23.959999"/>
    <n v="25.299999"/>
    <n v="23.75"/>
    <x v="2244"/>
    <n v="15.65912"/>
    <n v="184976600"/>
  </r>
  <r>
    <x v="3921"/>
    <n v="25.325001"/>
    <n v="26.225000000000001"/>
    <n v="24.934999000000001"/>
    <x v="2245"/>
    <n v="16.383644"/>
    <n v="85580200"/>
  </r>
  <r>
    <x v="3922"/>
    <n v="26.135000000000002"/>
    <n v="26.5"/>
    <n v="25.08"/>
    <x v="2246"/>
    <n v="16.159986"/>
    <n v="84940600"/>
  </r>
  <r>
    <x v="3923"/>
    <n v="25.754999000000002"/>
    <n v="25.9"/>
    <n v="24.774999999999999"/>
    <x v="2247"/>
    <n v="15.835521"/>
    <n v="58524400"/>
  </r>
  <r>
    <x v="3924"/>
    <n v="25.049999"/>
    <n v="25.34"/>
    <n v="24"/>
    <x v="2248"/>
    <n v="15.737868000000001"/>
    <n v="81191200"/>
  </r>
  <r>
    <x v="3925"/>
    <n v="24.809999000000001"/>
    <n v="25.795000000000002"/>
    <n v="24.49"/>
    <x v="2249"/>
    <n v="16.119033999999999"/>
    <n v="116641200"/>
  </r>
  <r>
    <x v="3926"/>
    <n v="25.469999000000001"/>
    <n v="26.25"/>
    <n v="25.204999999999998"/>
    <x v="2250"/>
    <n v="16.314342"/>
    <n v="69999600"/>
  </r>
  <r>
    <x v="3927"/>
    <n v="25.815000999999999"/>
    <n v="26.774999999999999"/>
    <n v="25.780000999999999"/>
    <x v="2251"/>
    <n v="16.711248000000001"/>
    <n v="80860800"/>
  </r>
  <r>
    <x v="3928"/>
    <n v="26.24"/>
    <n v="28.465"/>
    <n v="26.200001"/>
    <x v="2252"/>
    <n v="17.712987999999999"/>
    <n v="97199200"/>
  </r>
  <r>
    <x v="3929"/>
    <n v="28.459999"/>
    <n v="29.200001"/>
    <n v="28.105"/>
    <x v="2253"/>
    <n v="17.779135"/>
    <n v="101778000"/>
  </r>
  <r>
    <x v="3930"/>
    <n v="28.08"/>
    <n v="29"/>
    <n v="27.469999000000001"/>
    <x v="2254"/>
    <n v="18.18235"/>
    <n v="80844400"/>
  </r>
  <r>
    <x v="3931"/>
    <n v="28.4"/>
    <n v="29.325001"/>
    <n v="28.370000999999998"/>
    <x v="2255"/>
    <n v="18.283149999999999"/>
    <n v="60605800"/>
  </r>
  <r>
    <x v="3932"/>
    <n v="28.75"/>
    <n v="28.785"/>
    <n v="27.094999000000001"/>
    <x v="2256"/>
    <n v="17.186916"/>
    <n v="99477600"/>
  </r>
  <r>
    <x v="3933"/>
    <n v="26.799999"/>
    <n v="27.875"/>
    <n v="26.5"/>
    <x v="2257"/>
    <n v="17.486183"/>
    <n v="86349200"/>
  </r>
  <r>
    <x v="3934"/>
    <n v="27.879999000000002"/>
    <n v="28.42"/>
    <n v="27.295000000000002"/>
    <x v="2258"/>
    <n v="17.741337000000001"/>
    <n v="83742600"/>
  </r>
  <r>
    <x v="3935"/>
    <n v="27.85"/>
    <n v="28.32"/>
    <n v="27.274999999999999"/>
    <x v="2259"/>
    <n v="17.760232999999999"/>
    <n v="63307000"/>
  </r>
  <r>
    <x v="3936"/>
    <n v="27.950001"/>
    <n v="29.25"/>
    <n v="27.924999"/>
    <x v="2260"/>
    <n v="18.289446000000002"/>
    <n v="68437000"/>
  </r>
  <r>
    <x v="3937"/>
    <n v="28.934999000000001"/>
    <n v="29.454999999999998"/>
    <n v="28.605"/>
    <x v="2261"/>
    <n v="18.412299999999998"/>
    <n v="66169000"/>
  </r>
  <r>
    <x v="3938"/>
    <n v="29.559999000000001"/>
    <n v="29.65"/>
    <n v="27.99"/>
    <x v="2262"/>
    <n v="17.649978999999998"/>
    <n v="73710600"/>
  </r>
  <r>
    <x v="3939"/>
    <n v="28.17"/>
    <n v="28.790001"/>
    <n v="27.75"/>
    <x v="2122"/>
    <n v="17.876783"/>
    <n v="78348000"/>
  </r>
  <r>
    <x v="3940"/>
    <n v="28.700001"/>
    <n v="29.004999000000002"/>
    <n v="27.815000999999999"/>
    <x v="2263"/>
    <n v="18.239048"/>
    <n v="91219600"/>
  </r>
  <r>
    <x v="3941"/>
    <n v="28.950001"/>
    <n v="30.09"/>
    <n v="28.735001"/>
    <x v="2264"/>
    <n v="18.950968"/>
    <n v="72323600"/>
  </r>
  <r>
    <x v="3942"/>
    <n v="30.235001"/>
    <n v="30.719999000000001"/>
    <n v="29.700001"/>
    <x v="2265"/>
    <n v="19.036014999999999"/>
    <n v="80325000"/>
  </r>
  <r>
    <x v="3943"/>
    <n v="30.25"/>
    <n v="30.809999000000001"/>
    <n v="29.809999000000001"/>
    <x v="2266"/>
    <n v="19.316381"/>
    <n v="79141400"/>
  </r>
  <r>
    <x v="3944"/>
    <n v="30.305"/>
    <n v="31.299999"/>
    <n v="29.785"/>
    <x v="2267"/>
    <n v="19.706993000000001"/>
    <n v="75318200"/>
  </r>
  <r>
    <x v="3945"/>
    <n v="31.16"/>
    <n v="31.815000999999999"/>
    <n v="31.040001"/>
    <x v="2268"/>
    <n v="19.593596999999999"/>
    <n v="64509400"/>
  </r>
  <r>
    <x v="3946"/>
    <n v="31.049999"/>
    <n v="31.1"/>
    <n v="29.77"/>
    <x v="2269"/>
    <n v="18.787165000000002"/>
    <n v="55129400"/>
  </r>
  <r>
    <x v="3947"/>
    <n v="29.459999"/>
    <n v="29.77"/>
    <n v="29.094999000000001"/>
    <x v="2270"/>
    <n v="18.547750000000001"/>
    <n v="57395600"/>
  </r>
  <r>
    <x v="3948"/>
    <n v="29.65"/>
    <n v="30.364999999999998"/>
    <n v="29.049999"/>
    <x v="2271"/>
    <n v="18.317806000000001"/>
    <n v="64700000"/>
  </r>
  <r>
    <x v="3949"/>
    <n v="30.040001"/>
    <n v="31.125"/>
    <n v="29.799999"/>
    <x v="2272"/>
    <n v="19.480177000000001"/>
    <n v="109671200"/>
  </r>
  <r>
    <x v="3950"/>
    <n v="30.965"/>
    <n v="31.51"/>
    <n v="30.254999000000002"/>
    <x v="2273"/>
    <n v="19.341578999999999"/>
    <n v="83360000"/>
  </r>
  <r>
    <x v="3951"/>
    <n v="30.93"/>
    <n v="32.014999000000003"/>
    <n v="30.875"/>
    <x v="2274"/>
    <n v="19.930648999999999"/>
    <n v="66401600"/>
  </r>
  <r>
    <x v="3952"/>
    <n v="31.35"/>
    <n v="32.470001000000003"/>
    <n v="31.08"/>
    <x v="2275"/>
    <n v="20.406313000000001"/>
    <n v="68612000"/>
  </r>
  <r>
    <x v="3953"/>
    <n v="32.110000999999997"/>
    <n v="32.525002000000001"/>
    <n v="32.014999000000003"/>
    <x v="2054"/>
    <n v="20.239355"/>
    <n v="58899000"/>
  </r>
  <r>
    <x v="3954"/>
    <n v="32.229999999999997"/>
    <n v="33.029998999999997"/>
    <n v="31.83"/>
    <x v="2276"/>
    <n v="20.292908000000001"/>
    <n v="74227800"/>
  </r>
  <r>
    <x v="3955"/>
    <n v="32.169998"/>
    <n v="32.825001"/>
    <n v="31.954999999999998"/>
    <x v="2277"/>
    <n v="20.541767"/>
    <n v="48013600"/>
  </r>
  <r>
    <x v="3956"/>
    <n v="32.349997999999999"/>
    <n v="33.220001000000003"/>
    <n v="31.825001"/>
    <x v="2278"/>
    <n v="20.724475999999999"/>
    <n v="57752800"/>
  </r>
  <r>
    <x v="3957"/>
    <n v="33.400002000000001"/>
    <n v="33.974997999999999"/>
    <n v="33.299999"/>
    <x v="2279"/>
    <n v="21.389140999999999"/>
    <n v="60159600"/>
  </r>
  <r>
    <x v="3958"/>
    <n v="34.115001999999997"/>
    <n v="34.169998"/>
    <n v="32.895000000000003"/>
    <x v="2280"/>
    <n v="20.774875999999999"/>
    <n v="88625600"/>
  </r>
  <r>
    <x v="3959"/>
    <n v="33.049999"/>
    <n v="33.525002000000001"/>
    <n v="32.724997999999999"/>
    <x v="2281"/>
    <n v="20.828423999999998"/>
    <n v="77922000"/>
  </r>
  <r>
    <x v="3960"/>
    <n v="33.18"/>
    <n v="33.305"/>
    <n v="32.474997999999999"/>
    <x v="2282"/>
    <n v="20.711872"/>
    <n v="59249000"/>
  </r>
  <r>
    <x v="3961"/>
    <n v="33.125"/>
    <n v="33.485000999999997"/>
    <n v="32.849997999999999"/>
    <x v="2283"/>
    <n v="20.960733000000001"/>
    <n v="56005000"/>
  </r>
  <r>
    <x v="3962"/>
    <n v="33.224997999999999"/>
    <n v="33.900002000000001"/>
    <n v="32.514999000000003"/>
    <x v="2284"/>
    <n v="20.601616"/>
    <n v="65921800"/>
  </r>
  <r>
    <x v="3963"/>
    <n v="32.18"/>
    <n v="32.299999"/>
    <n v="31.74"/>
    <x v="2285"/>
    <n v="20.176359000000001"/>
    <n v="50785200"/>
  </r>
  <r>
    <x v="3964"/>
    <n v="32.189999"/>
    <n v="32.404998999999997"/>
    <n v="31.809999000000001"/>
    <x v="2286"/>
    <n v="20.384264000000002"/>
    <n v="15754600"/>
  </r>
  <r>
    <x v="3965"/>
    <n v="32.494999"/>
    <n v="32.854999999999997"/>
    <n v="32.200001"/>
    <x v="2287"/>
    <n v="20.519714"/>
    <n v="41983600"/>
  </r>
  <r>
    <x v="3966"/>
    <n v="32.395000000000003"/>
    <n v="32.534999999999997"/>
    <n v="31.375"/>
    <x v="2288"/>
    <n v="20.078699"/>
    <n v="90819000"/>
  </r>
  <r>
    <x v="3967"/>
    <n v="31.584999"/>
    <n v="32.060001"/>
    <n v="31.364999999999998"/>
    <x v="2289"/>
    <n v="19.782598"/>
    <n v="54536600"/>
  </r>
  <r>
    <x v="3968"/>
    <n v="31.559999000000001"/>
    <n v="32.450001"/>
    <n v="31.475000000000001"/>
    <x v="2290"/>
    <n v="20.425215000000001"/>
    <n v="54034400"/>
  </r>
  <r>
    <x v="3969"/>
    <n v="32.330002"/>
    <n v="32.540000999999997"/>
    <n v="31.965"/>
    <x v="2291"/>
    <n v="20.226759000000001"/>
    <n v="48234200"/>
  </r>
  <r>
    <x v="3970"/>
    <n v="31.915001"/>
    <n v="32.615001999999997"/>
    <n v="31.9"/>
    <x v="2292"/>
    <n v="20.40316"/>
    <n v="47211800"/>
  </r>
  <r>
    <x v="3971"/>
    <n v="32.5"/>
    <n v="33.040000999999997"/>
    <n v="32.049999"/>
    <x v="2293"/>
    <n v="20.790621000000002"/>
    <n v="51005800"/>
  </r>
  <r>
    <x v="3972"/>
    <n v="33.244999"/>
    <n v="34.084999000000003"/>
    <n v="32.599997999999999"/>
    <x v="2294"/>
    <n v="21.452145000000002"/>
    <n v="74243000"/>
  </r>
  <r>
    <x v="3973"/>
    <n v="33.990001999999997"/>
    <n v="34.5"/>
    <n v="33.775002000000001"/>
    <x v="2295"/>
    <n v="21.625397"/>
    <n v="56026200"/>
  </r>
  <r>
    <x v="3974"/>
    <n v="34.125"/>
    <n v="34.419998"/>
    <n v="33.275002000000001"/>
    <x v="2296"/>
    <n v="21.367092"/>
    <n v="42334800"/>
  </r>
  <r>
    <x v="3975"/>
    <n v="33.759998000000003"/>
    <n v="34.224997999999999"/>
    <n v="33.43"/>
    <x v="2297"/>
    <n v="21.124537"/>
    <n v="38367400"/>
  </r>
  <r>
    <x v="3976"/>
    <n v="33.830002"/>
    <n v="34.064999"/>
    <n v="33.534999999999997"/>
    <x v="2183"/>
    <n v="21.206436"/>
    <n v="54334000"/>
  </r>
  <r>
    <x v="3977"/>
    <n v="33.580002"/>
    <n v="33.990001999999997"/>
    <n v="33.125"/>
    <x v="2298"/>
    <n v="21.404892"/>
    <n v="47884200"/>
  </r>
  <r>
    <x v="3978"/>
    <n v="33.564999"/>
    <n v="34.119999"/>
    <n v="33.034999999999997"/>
    <x v="2299"/>
    <n v="20.875675000000001"/>
    <n v="53227800"/>
  </r>
  <r>
    <x v="3979"/>
    <n v="33.009998000000003"/>
    <n v="33.974997999999999"/>
    <n v="32.965000000000003"/>
    <x v="2300"/>
    <n v="21.244233999999999"/>
    <n v="43000600"/>
  </r>
  <r>
    <x v="3980"/>
    <n v="33.584999000000003"/>
    <n v="34.555"/>
    <n v="33.580002"/>
    <x v="2301"/>
    <n v="21.729361000000001"/>
    <n v="57079800"/>
  </r>
  <r>
    <x v="3981"/>
    <n v="34.459999000000003"/>
    <n v="34.700001"/>
    <n v="34.299999"/>
    <x v="2302"/>
    <n v="21.820706999999999"/>
    <n v="47255200"/>
  </r>
  <r>
    <x v="3982"/>
    <n v="34.310001"/>
    <n v="34.945"/>
    <n v="34.224997999999999"/>
    <x v="2303"/>
    <n v="21.890008999999999"/>
    <n v="56996200"/>
  </r>
  <r>
    <x v="3983"/>
    <n v="34.575001"/>
    <n v="34.625"/>
    <n v="33.310001"/>
    <x v="2304"/>
    <n v="21.030041000000001"/>
    <n v="78585000"/>
  </r>
  <r>
    <x v="3984"/>
    <n v="34.005001"/>
    <n v="34.009998000000003"/>
    <n v="33.5"/>
    <x v="2305"/>
    <n v="21.275738"/>
    <n v="84307600"/>
  </r>
  <r>
    <x v="3985"/>
    <n v="33.860000999999997"/>
    <n v="34.014999000000003"/>
    <n v="33.599997999999999"/>
    <x v="2306"/>
    <n v="21.190687"/>
    <n v="11701600"/>
  </r>
  <r>
    <x v="3986"/>
    <n v="33.709999000000003"/>
    <n v="34.534999999999997"/>
    <n v="33.695"/>
    <x v="2307"/>
    <n v="21.319835999999999"/>
    <n v="29328000"/>
  </r>
  <r>
    <x v="3987"/>
    <n v="33.990001999999997"/>
    <n v="34.354999999999997"/>
    <n v="33.630001"/>
    <x v="2308"/>
    <n v="21.373390000000001"/>
    <n v="32406600"/>
  </r>
  <r>
    <x v="3988"/>
    <n v="34.115001999999997"/>
    <n v="34.424999"/>
    <n v="33.849997999999999"/>
    <x v="2309"/>
    <n v="21.379695999999999"/>
    <n v="28787200"/>
  </r>
  <r>
    <x v="3989"/>
    <n v="33.919998"/>
    <n v="34.240001999999997"/>
    <n v="33.125"/>
    <x v="2310"/>
    <n v="20.869378999999999"/>
    <n v="43006200"/>
  </r>
  <r>
    <x v="3990"/>
    <n v="33.325001"/>
    <n v="33.555"/>
    <n v="32.755001"/>
    <x v="2311"/>
    <n v="21.118237000000001"/>
    <n v="48124000"/>
  </r>
  <r>
    <x v="3991"/>
    <n v="33.555"/>
    <n v="34.625"/>
    <n v="33.544998"/>
    <x v="2312"/>
    <n v="21.808109000000002"/>
    <n v="67590800"/>
  </r>
  <r>
    <x v="3992"/>
    <n v="34.625"/>
    <n v="34.955002"/>
    <n v="34.334999000000003"/>
    <x v="2180"/>
    <n v="21.704149000000001"/>
    <n v="52731400"/>
  </r>
  <r>
    <x v="3993"/>
    <n v="34.875"/>
    <n v="35.009998000000003"/>
    <n v="34.174999"/>
    <x v="2313"/>
    <n v="21.597055000000001"/>
    <n v="58508800"/>
  </r>
  <r>
    <x v="3994"/>
    <n v="34.345001000000003"/>
    <n v="34.93"/>
    <n v="34"/>
    <x v="2314"/>
    <n v="21.855364000000002"/>
    <n v="47736400"/>
  </r>
  <r>
    <x v="3995"/>
    <n v="34.860000999999997"/>
    <n v="35.310001"/>
    <n v="34.275002000000001"/>
    <x v="2315"/>
    <n v="21.644302"/>
    <n v="76304000"/>
  </r>
  <r>
    <x v="3996"/>
    <n v="34.240001999999997"/>
    <n v="34.900002000000001"/>
    <n v="34.064999"/>
    <x v="2316"/>
    <n v="21.823854000000001"/>
    <n v="50296600"/>
  </r>
  <r>
    <x v="3997"/>
    <n v="34.759998000000003"/>
    <n v="35.159999999999997"/>
    <n v="34.049999"/>
    <x v="2317"/>
    <n v="21.612794999999998"/>
    <n v="72993200"/>
  </r>
  <r>
    <x v="3998"/>
    <n v="34.150002000000001"/>
    <n v="34.520000000000003"/>
    <n v="33.869999"/>
    <x v="2318"/>
    <n v="21.568693"/>
    <n v="50997800"/>
  </r>
  <r>
    <x v="3999"/>
    <n v="34.330002"/>
    <n v="34.810001"/>
    <n v="34.25"/>
    <x v="2319"/>
    <n v="21.908918"/>
    <n v="60717400"/>
  </r>
  <r>
    <x v="4000"/>
    <n v="34.424999"/>
    <n v="34.919998"/>
    <n v="33.924999"/>
    <x v="2309"/>
    <n v="21.379695999999999"/>
    <n v="61955400"/>
  </r>
  <r>
    <x v="4001"/>
    <n v="34.264999000000003"/>
    <n v="35"/>
    <n v="34.200001"/>
    <x v="2320"/>
    <n v="22.006558999999999"/>
    <n v="78958000"/>
  </r>
  <r>
    <x v="4002"/>
    <n v="33.549999"/>
    <n v="33.924999"/>
    <n v="32.709999000000003"/>
    <x v="2321"/>
    <n v="20.822123999999999"/>
    <n v="107140400"/>
  </r>
  <r>
    <x v="4003"/>
    <n v="33.305"/>
    <n v="33.314999"/>
    <n v="32.125"/>
    <x v="2322"/>
    <n v="20.305508"/>
    <n v="76837200"/>
  </r>
  <r>
    <x v="4004"/>
    <n v="32.025002000000001"/>
    <n v="32.354999999999997"/>
    <n v="31.620000999999998"/>
    <x v="2288"/>
    <n v="20.078699"/>
    <n v="80403000"/>
  </r>
  <r>
    <x v="4005"/>
    <n v="32.049999"/>
    <n v="32.590000000000003"/>
    <n v="31.9"/>
    <x v="2323"/>
    <n v="20.349613000000002"/>
    <n v="83886000"/>
  </r>
  <r>
    <x v="4006"/>
    <n v="32.095001000000003"/>
    <n v="32.424999"/>
    <n v="31.754999000000002"/>
    <x v="2324"/>
    <n v="20.097597"/>
    <n v="48981200"/>
  </r>
  <r>
    <x v="4007"/>
    <n v="32.115001999999997"/>
    <n v="32.200001"/>
    <n v="31.454999999999998"/>
    <x v="2325"/>
    <n v="20.103905000000001"/>
    <n v="41622000"/>
  </r>
  <r>
    <x v="4008"/>
    <n v="31.950001"/>
    <n v="32.25"/>
    <n v="30.995000999999998"/>
    <x v="2326"/>
    <n v="19.63139"/>
    <n v="58666000"/>
  </r>
  <r>
    <x v="4009"/>
    <n v="31.225000000000001"/>
    <n v="31.450001"/>
    <n v="30.665001"/>
    <x v="2327"/>
    <n v="19.798345999999999"/>
    <n v="66100000"/>
  </r>
  <r>
    <x v="4010"/>
    <n v="31.530000999999999"/>
    <n v="31.905000999999999"/>
    <n v="31.059999000000001"/>
    <x v="2328"/>
    <n v="20.06925"/>
    <n v="69566200"/>
  </r>
  <r>
    <x v="4011"/>
    <n v="32.075001"/>
    <n v="32.25"/>
    <n v="31.235001"/>
    <x v="2329"/>
    <n v="19.738495"/>
    <n v="63462200"/>
  </r>
  <r>
    <x v="4012"/>
    <n v="31.200001"/>
    <n v="31.344999000000001"/>
    <n v="30.375"/>
    <x v="2330"/>
    <n v="19.253375999999999"/>
    <n v="70308400"/>
  </r>
  <r>
    <x v="4013"/>
    <n v="30.4"/>
    <n v="31.114999999999998"/>
    <n v="30.25"/>
    <x v="2331"/>
    <n v="19.262834999999999"/>
    <n v="66772600"/>
  </r>
  <r>
    <x v="4014"/>
    <n v="30.805"/>
    <n v="30.945"/>
    <n v="30.125"/>
    <x v="2332"/>
    <n v="19.026564"/>
    <n v="66103000"/>
  </r>
  <r>
    <x v="4015"/>
    <n v="30.15"/>
    <n v="30.805"/>
    <n v="29.875"/>
    <x v="2333"/>
    <n v="18.837565999999999"/>
    <n v="63314000"/>
  </r>
  <r>
    <x v="4016"/>
    <n v="30.059999000000001"/>
    <n v="30.33"/>
    <n v="29.415001"/>
    <x v="2334"/>
    <n v="19.105322000000001"/>
    <n v="61283000"/>
  </r>
  <r>
    <x v="4017"/>
    <n v="30.004999000000002"/>
    <n v="30.620000999999998"/>
    <n v="29.795000000000002"/>
    <x v="2335"/>
    <n v="19.256529"/>
    <n v="50899600"/>
  </r>
  <r>
    <x v="4018"/>
    <n v="30.245000999999998"/>
    <n v="30.424999"/>
    <n v="30.01"/>
    <x v="2336"/>
    <n v="18.944669999999999"/>
    <n v="44973800"/>
  </r>
  <r>
    <x v="4019"/>
    <n v="30.129999000000002"/>
    <n v="30.940000999999999"/>
    <n v="29.975000000000001"/>
    <x v="2337"/>
    <n v="19.473887999999999"/>
    <n v="54168600"/>
  </r>
  <r>
    <x v="4020"/>
    <n v="31"/>
    <n v="31.495000999999998"/>
    <n v="30.66"/>
    <x v="2338"/>
    <n v="19.429780999999998"/>
    <n v="57267000"/>
  </r>
  <r>
    <x v="4021"/>
    <n v="30.85"/>
    <n v="31.030000999999999"/>
    <n v="30.1"/>
    <x v="2339"/>
    <n v="18.973019000000001"/>
    <n v="50179800"/>
  </r>
  <r>
    <x v="4022"/>
    <n v="29.954999999999998"/>
    <n v="30.07"/>
    <n v="29.299999"/>
    <x v="2340"/>
    <n v="18.563507000000001"/>
    <n v="52262600"/>
  </r>
  <r>
    <x v="4023"/>
    <n v="29.700001"/>
    <n v="30.18"/>
    <n v="29.4"/>
    <x v="2341"/>
    <n v="18.869070000000001"/>
    <n v="50492000"/>
  </r>
  <r>
    <x v="4024"/>
    <n v="29.860001"/>
    <n v="30.135000000000002"/>
    <n v="29.004999000000002"/>
    <x v="2342"/>
    <n v="18.286303"/>
    <n v="59398400"/>
  </r>
  <r>
    <x v="4025"/>
    <n v="29.024999999999999"/>
    <n v="29.375"/>
    <n v="28.575001"/>
    <x v="2343"/>
    <n v="18.267395"/>
    <n v="71347800"/>
  </r>
  <r>
    <x v="4026"/>
    <n v="28.969999000000001"/>
    <n v="29.945"/>
    <n v="28.945"/>
    <x v="2344"/>
    <n v="18.610762000000001"/>
    <n v="51832200"/>
  </r>
  <r>
    <x v="4027"/>
    <n v="29.549999"/>
    <n v="30"/>
    <n v="28.950001"/>
    <x v="2345"/>
    <n v="18.443808000000001"/>
    <n v="63276200"/>
  </r>
  <r>
    <x v="4028"/>
    <n v="29.535"/>
    <n v="30.075001"/>
    <n v="28.995000999999998"/>
    <x v="2346"/>
    <n v="18.3934"/>
    <n v="65750000"/>
  </r>
  <r>
    <x v="4029"/>
    <n v="29.389999"/>
    <n v="29.85"/>
    <n v="29.07"/>
    <x v="2347"/>
    <n v="18.377647"/>
    <n v="68068000"/>
  </r>
  <r>
    <x v="4030"/>
    <n v="29.524999999999999"/>
    <n v="30.709999"/>
    <n v="29.424999"/>
    <x v="2348"/>
    <n v="19.332129999999999"/>
    <n v="62115600"/>
  </r>
  <r>
    <x v="4031"/>
    <n v="30.620000999999998"/>
    <n v="31.75"/>
    <n v="30.434999000000001"/>
    <x v="2349"/>
    <n v="19.940096"/>
    <n v="74464200"/>
  </r>
  <r>
    <x v="4032"/>
    <n v="31.5"/>
    <n v="31.940000999999999"/>
    <n v="31.17"/>
    <x v="2350"/>
    <n v="19.870798000000001"/>
    <n v="55926400"/>
  </r>
  <r>
    <x v="4033"/>
    <n v="31.454999999999998"/>
    <n v="31.85"/>
    <n v="31.094999000000001"/>
    <x v="2351"/>
    <n v="20.044052000000001"/>
    <n v="49835400"/>
  </r>
  <r>
    <x v="4034"/>
    <n v="31.834999"/>
    <n v="31.940000999999999"/>
    <n v="30.93"/>
    <x v="2352"/>
    <n v="19.757397000000001"/>
    <n v="58079200"/>
  </r>
  <r>
    <x v="4035"/>
    <n v="31.815000999999999"/>
    <n v="32.349997999999999"/>
    <n v="31.584999"/>
    <x v="2353"/>
    <n v="20.144856999999998"/>
    <n v="57701800"/>
  </r>
  <r>
    <x v="4036"/>
    <n v="31.754999000000002"/>
    <n v="32.5"/>
    <n v="31.5"/>
    <x v="2354"/>
    <n v="20.267710000000001"/>
    <n v="43718200"/>
  </r>
  <r>
    <x v="4037"/>
    <n v="31.26"/>
    <n v="31.4"/>
    <n v="30.834999"/>
    <x v="2355"/>
    <n v="19.700695"/>
    <n v="66407200"/>
  </r>
  <r>
    <x v="4038"/>
    <n v="31.040001"/>
    <n v="31.51"/>
    <n v="30.975000000000001"/>
    <x v="2356"/>
    <n v="19.562083999999999"/>
    <n v="44387400"/>
  </r>
  <r>
    <x v="4039"/>
    <n v="31.07"/>
    <n v="31.120000999999998"/>
    <n v="30.524999999999999"/>
    <x v="2357"/>
    <n v="19.284873999999999"/>
    <n v="51819600"/>
  </r>
  <r>
    <x v="4040"/>
    <n v="30.5"/>
    <n v="31.254999000000002"/>
    <n v="30.485001"/>
    <x v="2358"/>
    <n v="19.684941999999999"/>
    <n v="69086800"/>
  </r>
  <r>
    <x v="4041"/>
    <n v="31.370000999999998"/>
    <n v="31.495000999999998"/>
    <n v="30.6"/>
    <x v="2359"/>
    <n v="19.57469"/>
    <n v="52296800"/>
  </r>
  <r>
    <x v="4042"/>
    <n v="31.09"/>
    <n v="31.5"/>
    <n v="30.75"/>
    <x v="2360"/>
    <n v="19.603041000000001"/>
    <n v="36376400"/>
  </r>
  <r>
    <x v="4043"/>
    <n v="30.700001"/>
    <n v="31.01"/>
    <n v="30.049999"/>
    <x v="2361"/>
    <n v="18.93207"/>
    <n v="55235200"/>
  </r>
  <r>
    <x v="4044"/>
    <n v="30.105"/>
    <n v="30.795000000000002"/>
    <n v="29.915001"/>
    <x v="2362"/>
    <n v="19.328979"/>
    <n v="46123400"/>
  </r>
  <r>
    <x v="4045"/>
    <n v="30.524999999999999"/>
    <n v="30.57"/>
    <n v="30.110001"/>
    <x v="2363"/>
    <n v="19.042318000000002"/>
    <n v="41341400"/>
  </r>
  <r>
    <x v="4046"/>
    <n v="30.24"/>
    <n v="30.389999"/>
    <n v="29.575001"/>
    <x v="2364"/>
    <n v="18.658004999999999"/>
    <n v="47752400"/>
  </r>
  <r>
    <x v="4047"/>
    <n v="29.549999"/>
    <n v="30.459999"/>
    <n v="29.155000999999999"/>
    <x v="2344"/>
    <n v="18.610762000000001"/>
    <n v="69357200"/>
  </r>
  <r>
    <x v="4048"/>
    <n v="29.4"/>
    <n v="29.940000999999999"/>
    <n v="29.295000000000002"/>
    <x v="2365"/>
    <n v="18.724155"/>
    <n v="47318400"/>
  </r>
  <r>
    <x v="4049"/>
    <n v="29.975000000000001"/>
    <n v="30.325001"/>
    <n v="29.83"/>
    <x v="2366"/>
    <n v="18.998218999999999"/>
    <n v="43901200"/>
  </r>
  <r>
    <x v="4050"/>
    <n v="29.915001"/>
    <n v="30.200001"/>
    <n v="29.6"/>
    <x v="2367"/>
    <n v="19.020275000000002"/>
    <n v="47010000"/>
  </r>
  <r>
    <x v="4051"/>
    <n v="29.450001"/>
    <n v="29.545000000000002"/>
    <n v="28.555"/>
    <x v="2368"/>
    <n v="18.043737"/>
    <n v="76509400"/>
  </r>
  <r>
    <x v="4052"/>
    <n v="28.719999000000001"/>
    <n v="28.805"/>
    <n v="27.75"/>
    <x v="2369"/>
    <n v="17.744482000000001"/>
    <n v="76931400"/>
  </r>
  <r>
    <x v="4053"/>
    <n v="27.99"/>
    <n v="28.485001"/>
    <n v="27.709999"/>
    <x v="2370"/>
    <n v="17.782284000000001"/>
    <n v="61763800"/>
  </r>
  <r>
    <x v="4054"/>
    <n v="28.445"/>
    <n v="28.65"/>
    <n v="27.92"/>
    <x v="2371"/>
    <n v="17.599588000000001"/>
    <n v="50166000"/>
  </r>
  <r>
    <x v="4055"/>
    <n v="27.15"/>
    <n v="28.655000999999999"/>
    <n v="27.129999000000002"/>
    <x v="2372"/>
    <n v="18.024832"/>
    <n v="73389600"/>
  </r>
  <r>
    <x v="4056"/>
    <n v="28.665001"/>
    <n v="28.715"/>
    <n v="27.4"/>
    <x v="2373"/>
    <n v="17.284571"/>
    <n v="63413000"/>
  </r>
  <r>
    <x v="4057"/>
    <n v="27.559999000000001"/>
    <n v="28.555"/>
    <n v="27.530000999999999"/>
    <x v="2374"/>
    <n v="17.735033000000001"/>
    <n v="75636400"/>
  </r>
  <r>
    <x v="4058"/>
    <n v="27.945"/>
    <n v="28.225000000000001"/>
    <n v="27.25"/>
    <x v="2375"/>
    <n v="17.259369"/>
    <n v="58165800"/>
  </r>
  <r>
    <x v="4059"/>
    <n v="27.575001"/>
    <n v="28.129999000000002"/>
    <n v="27.43"/>
    <x v="2376"/>
    <n v="17.618480999999999"/>
    <n v="52297600"/>
  </r>
  <r>
    <x v="4060"/>
    <n v="28"/>
    <n v="28.375"/>
    <n v="27.700001"/>
    <x v="2377"/>
    <n v="17.542871000000002"/>
    <n v="47388800"/>
  </r>
  <r>
    <x v="4061"/>
    <n v="28.200001"/>
    <n v="29.049999"/>
    <n v="28.18"/>
    <x v="2378"/>
    <n v="18.210697"/>
    <n v="51921600"/>
  </r>
  <r>
    <x v="4062"/>
    <n v="28.975000000000001"/>
    <n v="29.139999"/>
    <n v="28.209999"/>
    <x v="2379"/>
    <n v="17.838985000000001"/>
    <n v="55158600"/>
  </r>
  <r>
    <x v="4063"/>
    <n v="28.395"/>
    <n v="28.655000999999999"/>
    <n v="26.34"/>
    <x v="2380"/>
    <n v="17.757088"/>
    <n v="74794800"/>
  </r>
  <r>
    <x v="4064"/>
    <n v="28.719999000000001"/>
    <n v="28.99"/>
    <n v="28.43"/>
    <x v="2381"/>
    <n v="18.018537999999999"/>
    <n v="104268600"/>
  </r>
  <r>
    <x v="4065"/>
    <n v="28.26"/>
    <n v="28.35"/>
    <n v="27.5"/>
    <x v="2382"/>
    <n v="17.511375000000001"/>
    <n v="51465200"/>
  </r>
  <r>
    <x v="4066"/>
    <n v="27.85"/>
    <n v="27.91"/>
    <n v="26.65"/>
    <x v="2383"/>
    <n v="17.007362000000001"/>
    <n v="68281400"/>
  </r>
  <r>
    <x v="4067"/>
    <n v="26.924999"/>
    <n v="27.215"/>
    <n v="26.5"/>
    <x v="2384"/>
    <n v="16.701799000000001"/>
    <n v="61220400"/>
  </r>
  <r>
    <x v="4068"/>
    <n v="26.450001"/>
    <n v="27.225000000000001"/>
    <n v="26.440000999999999"/>
    <x v="2385"/>
    <n v="16.925454999999999"/>
    <n v="57290400"/>
  </r>
  <r>
    <x v="4069"/>
    <n v="27.035"/>
    <n v="27.225000000000001"/>
    <n v="25.73"/>
    <x v="2386"/>
    <n v="16.222994"/>
    <n v="62776600"/>
  </r>
  <r>
    <x v="4070"/>
    <n v="25.735001"/>
    <n v="26.454999999999998"/>
    <n v="25.719999000000001"/>
    <x v="2387"/>
    <n v="16.456091000000001"/>
    <n v="70246000"/>
  </r>
  <r>
    <x v="4071"/>
    <n v="26.049999"/>
    <n v="26.65"/>
    <n v="25.959999"/>
    <x v="2388"/>
    <n v="16.462395000000001"/>
    <n v="77384000"/>
  </r>
  <r>
    <x v="4072"/>
    <n v="26.08"/>
    <n v="26.594999000000001"/>
    <n v="25.33"/>
    <x v="1698"/>
    <n v="16.616752999999999"/>
    <n v="76413000"/>
  </r>
  <r>
    <x v="4073"/>
    <n v="26.32"/>
    <n v="27.035"/>
    <n v="25.575001"/>
    <x v="2389"/>
    <n v="16.131627999999999"/>
    <n v="79009200"/>
  </r>
  <r>
    <x v="4074"/>
    <n v="25.629999000000002"/>
    <n v="25.84"/>
    <n v="24.754999000000002"/>
    <x v="2390"/>
    <n v="15.611871000000001"/>
    <n v="71628000"/>
  </r>
  <r>
    <x v="4075"/>
    <n v="24.719999000000001"/>
    <n v="25.27"/>
    <n v="24.184999000000001"/>
    <x v="2391"/>
    <n v="15.315757"/>
    <n v="66299400"/>
  </r>
  <r>
    <x v="4076"/>
    <n v="24.59"/>
    <n v="25.145"/>
    <n v="24.174999"/>
    <x v="2392"/>
    <n v="15.583522"/>
    <n v="88385400"/>
  </r>
  <r>
    <x v="4077"/>
    <n v="25.635000000000002"/>
    <n v="27.485001"/>
    <n v="25.610001"/>
    <x v="2393"/>
    <n v="17.316075999999999"/>
    <n v="101242000"/>
  </r>
  <r>
    <x v="4078"/>
    <n v="27.200001"/>
    <n v="27.5"/>
    <n v="25.950001"/>
    <x v="2394"/>
    <n v="16.418292999999998"/>
    <n v="83288200"/>
  </r>
  <r>
    <x v="4079"/>
    <n v="26.264999"/>
    <n v="26.334999"/>
    <n v="24.995000999999998"/>
    <x v="2395"/>
    <n v="15.766214"/>
    <n v="64408800"/>
  </r>
  <r>
    <x v="4080"/>
    <n v="25.225000000000001"/>
    <n v="26.454999999999998"/>
    <n v="24.875"/>
    <x v="2396"/>
    <n v="16.597843000000001"/>
    <n v="64819000"/>
  </r>
  <r>
    <x v="4081"/>
    <n v="27.200001"/>
    <n v="27.549999"/>
    <n v="26.99"/>
    <x v="2397"/>
    <n v="17.287718000000002"/>
    <n v="64832400"/>
  </r>
  <r>
    <x v="4082"/>
    <n v="27.245000999999998"/>
    <n v="28.219999000000001"/>
    <n v="26.93"/>
    <x v="2398"/>
    <n v="17.246765"/>
    <n v="70412000"/>
  </r>
  <r>
    <x v="4083"/>
    <n v="27.355"/>
    <n v="28.014999"/>
    <n v="27.325001"/>
    <x v="2399"/>
    <n v="17.558620000000001"/>
    <n v="53406400"/>
  </r>
  <r>
    <x v="4084"/>
    <n v="28.105"/>
    <n v="28.200001"/>
    <n v="27.635000000000002"/>
    <x v="2262"/>
    <n v="17.649978999999998"/>
    <n v="54646200"/>
  </r>
  <r>
    <x v="4085"/>
    <n v="27.75"/>
    <n v="27.774999999999999"/>
    <n v="26.75"/>
    <x v="2400"/>
    <n v="17.013660000000002"/>
    <n v="52115800"/>
  </r>
  <r>
    <x v="4086"/>
    <n v="26.975000000000001"/>
    <n v="27.299999"/>
    <n v="26.065000999999999"/>
    <x v="2401"/>
    <n v="16.440339999999999"/>
    <n v="63120000"/>
  </r>
  <r>
    <x v="4087"/>
    <n v="25.934999000000001"/>
    <n v="26.860001"/>
    <n v="25.924999"/>
    <x v="2402"/>
    <n v="16.912855"/>
    <n v="54169400"/>
  </r>
  <r>
    <x v="4088"/>
    <n v="26.85"/>
    <n v="27.42"/>
    <n v="26.504999000000002"/>
    <x v="2403"/>
    <n v="17.268818"/>
    <n v="51412800"/>
  </r>
  <r>
    <x v="4089"/>
    <n v="27.07"/>
    <n v="27.26"/>
    <n v="26.52"/>
    <x v="2404"/>
    <n v="16.777398999999999"/>
    <n v="35982000"/>
  </r>
  <r>
    <x v="4090"/>
    <n v="26.795000000000002"/>
    <n v="26.844999000000001"/>
    <n v="25.875"/>
    <x v="2405"/>
    <n v="16.481297999999999"/>
    <n v="49602000"/>
  </r>
  <r>
    <x v="4091"/>
    <n v="25.825001"/>
    <n v="26.360001"/>
    <n v="25.774999999999999"/>
    <x v="2406"/>
    <n v="16.396238"/>
    <n v="45393200"/>
  </r>
  <r>
    <x v="4092"/>
    <n v="25.82"/>
    <n v="26.68"/>
    <n v="25.715"/>
    <x v="2407"/>
    <n v="16.582100000000001"/>
    <n v="63213000"/>
  </r>
  <r>
    <x v="4093"/>
    <n v="26.450001"/>
    <n v="26.709999"/>
    <n v="25.440000999999999"/>
    <x v="2408"/>
    <n v="16.037130000000001"/>
    <n v="66468000"/>
  </r>
  <r>
    <x v="4094"/>
    <n v="25.495000999999998"/>
    <n v="25.82"/>
    <n v="24.584999"/>
    <x v="2409"/>
    <n v="15.567767999999999"/>
    <n v="88439000"/>
  </r>
  <r>
    <x v="4095"/>
    <n v="24.75"/>
    <n v="25.614999999999998"/>
    <n v="24.620000999999998"/>
    <x v="2410"/>
    <n v="15.744168999999999"/>
    <n v="88008400"/>
  </r>
  <r>
    <x v="4096"/>
    <n v="25.215"/>
    <n v="25.875"/>
    <n v="25.165001"/>
    <x v="2411"/>
    <n v="16.273385999999999"/>
    <n v="66969400"/>
  </r>
  <r>
    <x v="4097"/>
    <n v="25.75"/>
    <n v="26.07"/>
    <n v="25"/>
    <x v="2412"/>
    <n v="16.348986"/>
    <n v="78703400"/>
  </r>
  <r>
    <x v="4098"/>
    <n v="24.945"/>
    <n v="26.299999"/>
    <n v="24.93"/>
    <x v="2413"/>
    <n v="16.374186999999999"/>
    <n v="97834400"/>
  </r>
  <r>
    <x v="4099"/>
    <n v="25.825001"/>
    <n v="26.65"/>
    <n v="25.73"/>
    <x v="2414"/>
    <n v="16.6388"/>
    <n v="71825400"/>
  </r>
  <r>
    <x v="4100"/>
    <n v="26.620000999999998"/>
    <n v="27.09"/>
    <n v="26.209999"/>
    <x v="2415"/>
    <n v="16.560040000000001"/>
    <n v="74368200"/>
  </r>
  <r>
    <x v="4101"/>
    <n v="26.290001"/>
    <n v="27.889999"/>
    <n v="26.25"/>
    <x v="2416"/>
    <n v="17.495621"/>
    <n v="136198600"/>
  </r>
  <r>
    <x v="4102"/>
    <n v="27.42"/>
    <n v="27.74"/>
    <n v="27.1"/>
    <x v="2417"/>
    <n v="17.079809000000001"/>
    <n v="79771600"/>
  </r>
  <r>
    <x v="4103"/>
    <n v="26.575001"/>
    <n v="27.774999999999999"/>
    <n v="26.5"/>
    <x v="2418"/>
    <n v="17.404271999999999"/>
    <n v="109433600"/>
  </r>
  <r>
    <x v="4104"/>
    <n v="27.83"/>
    <n v="28.219999000000001"/>
    <n v="27.684999000000001"/>
    <x v="2419"/>
    <n v="17.539726000000002"/>
    <n v="94486600"/>
  </r>
  <r>
    <x v="4105"/>
    <n v="27.764999"/>
    <n v="28.145"/>
    <n v="27.674999"/>
    <x v="2420"/>
    <n v="17.637377000000001"/>
    <n v="77518400"/>
  </r>
  <r>
    <x v="4106"/>
    <n v="27.735001"/>
    <n v="27.969999000000001"/>
    <n v="27.16"/>
    <x v="2421"/>
    <n v="17.123915"/>
    <n v="81247000"/>
  </r>
  <r>
    <x v="4107"/>
    <n v="27.184999000000001"/>
    <n v="27.549999"/>
    <n v="26.950001"/>
    <x v="2422"/>
    <n v="17.042010999999999"/>
    <n v="86401200"/>
  </r>
  <r>
    <x v="4108"/>
    <n v="26.700001"/>
    <n v="27.274999999999999"/>
    <n v="26.139999"/>
    <x v="2423"/>
    <n v="16.468692999999998"/>
    <n v="116820000"/>
  </r>
  <r>
    <x v="4109"/>
    <n v="26.045000000000002"/>
    <n v="27.32"/>
    <n v="25.924999"/>
    <x v="2424"/>
    <n v="17.060915000000001"/>
    <n v="104523200"/>
  </r>
  <r>
    <x v="4110"/>
    <n v="27.35"/>
    <n v="27.5"/>
    <n v="26.4"/>
    <x v="2425"/>
    <n v="16.679749000000001"/>
    <n v="84025200"/>
  </r>
  <r>
    <x v="4111"/>
    <n v="25.524999999999999"/>
    <n v="27.195"/>
    <n v="25.524999999999999"/>
    <x v="2426"/>
    <n v="17.051456000000002"/>
    <n v="112131400"/>
  </r>
  <r>
    <x v="4112"/>
    <n v="27.299999"/>
    <n v="27.469999000000001"/>
    <n v="26.43"/>
    <x v="2427"/>
    <n v="17.300322999999999"/>
    <n v="95812400"/>
  </r>
  <r>
    <x v="4113"/>
    <n v="27.274999999999999"/>
    <n v="27.895"/>
    <n v="27"/>
    <x v="2428"/>
    <n v="17.231021999999999"/>
    <n v="89555600"/>
  </r>
  <r>
    <x v="4114"/>
    <n v="27.059999000000001"/>
    <n v="27.195"/>
    <n v="26.290001"/>
    <x v="2429"/>
    <n v="16.588394000000001"/>
    <n v="66473800"/>
  </r>
  <r>
    <x v="4115"/>
    <n v="26.190000999999999"/>
    <n v="26.459999"/>
    <n v="25.665001"/>
    <x v="2430"/>
    <n v="16.204086"/>
    <n v="82814200"/>
  </r>
  <r>
    <x v="4116"/>
    <n v="25.620000999999998"/>
    <n v="26.26"/>
    <n v="25.225000000000001"/>
    <x v="2431"/>
    <n v="16.330083999999999"/>
    <n v="80936600"/>
  </r>
  <r>
    <x v="4117"/>
    <n v="26.545000000000002"/>
    <n v="27.450001"/>
    <n v="26.524999999999999"/>
    <x v="2432"/>
    <n v="17.278269000000002"/>
    <n v="35673600"/>
  </r>
  <r>
    <x v="4118"/>
    <n v="27.204999999999998"/>
    <n v="27.465"/>
    <n v="26.290001"/>
    <x v="2433"/>
    <n v="16.670303000000001"/>
    <n v="63199400"/>
  </r>
  <r>
    <x v="4119"/>
    <n v="26.655000999999999"/>
    <n v="27.364999999999998"/>
    <n v="26.485001"/>
    <x v="2434"/>
    <n v="16.761644"/>
    <n v="85277200"/>
  </r>
  <r>
    <x v="4120"/>
    <n v="26.844999000000001"/>
    <n v="27.1"/>
    <n v="26.065000999999999"/>
    <x v="2387"/>
    <n v="16.456091000000001"/>
    <n v="90673400"/>
  </r>
  <r>
    <x v="4121"/>
    <n v="26.02"/>
    <n v="26.535"/>
    <n v="25.625"/>
    <x v="2240"/>
    <n v="16.667145000000001"/>
    <n v="129550600"/>
  </r>
  <r>
    <x v="4122"/>
    <n v="26.684999000000001"/>
    <n v="26.864999999999998"/>
    <n v="25.74"/>
    <x v="2435"/>
    <n v="16.336399"/>
    <n v="95733800"/>
  </r>
  <r>
    <x v="4123"/>
    <n v="25.695"/>
    <n v="25.93"/>
    <n v="24"/>
    <x v="2436"/>
    <n v="16.317488000000001"/>
    <n v="136965600"/>
  </r>
  <r>
    <x v="4124"/>
    <n v="25.655000999999999"/>
    <n v="26.4"/>
    <n v="25.32"/>
    <x v="2437"/>
    <n v="16.144235999999999"/>
    <n v="97154600"/>
  </r>
  <r>
    <x v="4125"/>
    <n v="26.26"/>
    <n v="26.65"/>
    <n v="25.584999"/>
    <x v="2438"/>
    <n v="16.380495"/>
    <n v="98034800"/>
  </r>
  <r>
    <x v="4126"/>
    <n v="26.030000999999999"/>
    <n v="26.370000999999998"/>
    <n v="25.33"/>
    <x v="2439"/>
    <n v="16.100134000000001"/>
    <n v="91053600"/>
  </r>
  <r>
    <x v="4127"/>
    <n v="24.934999000000001"/>
    <n v="25.445"/>
    <n v="24.405000999999999"/>
    <x v="2390"/>
    <n v="15.611871000000001"/>
    <n v="112543400"/>
  </r>
  <r>
    <x v="4128"/>
    <n v="24.475000000000001"/>
    <n v="24.995000999999998"/>
    <n v="22.950001"/>
    <x v="2440"/>
    <n v="14.966098000000001"/>
    <n v="180069800"/>
  </r>
  <r>
    <x v="4129"/>
    <n v="23.245000999999998"/>
    <n v="23.4"/>
    <n v="21.485001"/>
    <x v="2441"/>
    <n v="13.548556"/>
    <n v="168061600"/>
  </r>
  <r>
    <x v="4130"/>
    <n v="20.875"/>
    <n v="23.18"/>
    <n v="20.704999999999998"/>
    <x v="2442"/>
    <n v="14.562886000000001"/>
    <n v="202307800"/>
  </r>
  <r>
    <x v="4131"/>
    <n v="22.725000000000001"/>
    <n v="22.855"/>
    <n v="21.219999000000001"/>
    <x v="2443"/>
    <n v="13.491854"/>
    <n v="163411400"/>
  </r>
  <r>
    <x v="4132"/>
    <n v="21.870000999999998"/>
    <n v="22.704999999999998"/>
    <n v="21.84"/>
    <x v="2444"/>
    <n v="14.285678000000001"/>
    <n v="123538000"/>
  </r>
  <r>
    <x v="4133"/>
    <n v="23.424999"/>
    <n v="24.15"/>
    <n v="23.274999999999999"/>
    <x v="2445"/>
    <n v="15.199206999999999"/>
    <n v="112148600"/>
  </r>
  <r>
    <x v="4134"/>
    <n v="23.774999999999999"/>
    <n v="24.415001"/>
    <n v="23.665001"/>
    <x v="2446"/>
    <n v="15.151958"/>
    <n v="122690600"/>
  </r>
  <r>
    <x v="4135"/>
    <n v="23.805"/>
    <n v="24"/>
    <n v="23.18"/>
    <x v="2447"/>
    <n v="15.114155"/>
    <n v="93875600"/>
  </r>
  <r>
    <x v="4136"/>
    <n v="23.790001"/>
    <n v="24.045000000000002"/>
    <n v="22.75"/>
    <x v="2448"/>
    <n v="14.411685"/>
    <n v="92002800"/>
  </r>
  <r>
    <x v="4137"/>
    <n v="22.754999000000002"/>
    <n v="22.924999"/>
    <n v="21.9"/>
    <x v="2449"/>
    <n v="13.989573"/>
    <n v="85947600"/>
  </r>
  <r>
    <x v="4138"/>
    <n v="22.145"/>
    <n v="22.584999"/>
    <n v="21.905000999999999"/>
    <x v="2450"/>
    <n v="13.857264000000001"/>
    <n v="78941600"/>
  </r>
  <r>
    <x v="4139"/>
    <n v="22.450001"/>
    <n v="23.625"/>
    <n v="22.42"/>
    <x v="2451"/>
    <n v="14.386483"/>
    <n v="88715800"/>
  </r>
  <r>
    <x v="4140"/>
    <n v="23.5"/>
    <n v="23.65"/>
    <n v="22.58"/>
    <x v="2452"/>
    <n v="14.833796"/>
    <n v="86349400"/>
  </r>
  <r>
    <x v="4141"/>
    <n v="23.555"/>
    <n v="24.5"/>
    <n v="23.204999999999998"/>
    <x v="2453"/>
    <n v="15.407121"/>
    <n v="88748000"/>
  </r>
  <r>
    <x v="4142"/>
    <n v="24.075001"/>
    <n v="24.575001"/>
    <n v="23.83"/>
    <x v="2454"/>
    <n v="15.158257000000001"/>
    <n v="69049400"/>
  </r>
  <r>
    <x v="4143"/>
    <n v="23.805"/>
    <n v="24.375"/>
    <n v="23.799999"/>
    <x v="2455"/>
    <n v="15.268514"/>
    <n v="56866600"/>
  </r>
  <r>
    <x v="4144"/>
    <n v="23.995000999999998"/>
    <n v="24.85"/>
    <n v="23.459999"/>
    <x v="2456"/>
    <n v="14.824346999999999"/>
    <n v="100122800"/>
  </r>
  <r>
    <x v="4145"/>
    <n v="23.625"/>
    <n v="24.864999999999998"/>
    <n v="23.605"/>
    <x v="2244"/>
    <n v="15.65912"/>
    <n v="96706000"/>
  </r>
  <r>
    <x v="4146"/>
    <n v="24.98"/>
    <n v="25.370000999999998"/>
    <n v="24.375"/>
    <x v="2457"/>
    <n v="15.678018"/>
    <n v="98745600"/>
  </r>
  <r>
    <x v="4147"/>
    <n v="24.715"/>
    <n v="25.114999999999998"/>
    <n v="24.459999"/>
    <x v="2458"/>
    <n v="15.750473"/>
    <n v="69334000"/>
  </r>
  <r>
    <x v="4148"/>
    <n v="25.02"/>
    <n v="26.024999999999999"/>
    <n v="24.924999"/>
    <x v="2438"/>
    <n v="16.380495"/>
    <n v="79848200"/>
  </r>
  <r>
    <x v="4149"/>
    <n v="25.690000999999999"/>
    <n v="25.85"/>
    <n v="25.375"/>
    <x v="2459"/>
    <n v="16.078078999999999"/>
    <n v="70317600"/>
  </r>
  <r>
    <x v="4150"/>
    <n v="25.780000999999999"/>
    <n v="26.190000999999999"/>
    <n v="25.575001"/>
    <x v="2423"/>
    <n v="16.468692999999998"/>
    <n v="81203400"/>
  </r>
  <r>
    <x v="4151"/>
    <n v="26.424999"/>
    <n v="26.725000000000001"/>
    <n v="26.299999"/>
    <x v="2460"/>
    <n v="16.767954"/>
    <n v="72517600"/>
  </r>
  <r>
    <x v="4152"/>
    <n v="26.33"/>
    <n v="26.424999"/>
    <n v="25.92"/>
    <x v="2461"/>
    <n v="16.449788999999999"/>
    <n v="57929200"/>
  </r>
  <r>
    <x v="4153"/>
    <n v="26.25"/>
    <n v="26.325001"/>
    <n v="25.59"/>
    <x v="2462"/>
    <n v="16.411992999999999"/>
    <n v="55652400"/>
  </r>
  <r>
    <x v="4154"/>
    <n v="26.165001"/>
    <n v="26.225000000000001"/>
    <n v="25.325001"/>
    <x v="2463"/>
    <n v="16.015080999999999"/>
    <n v="65470200"/>
  </r>
  <r>
    <x v="4155"/>
    <n v="25.24"/>
    <n v="25.33"/>
    <n v="24.65"/>
    <x v="2464"/>
    <n v="15.555168999999999"/>
    <n v="68875000"/>
  </r>
  <r>
    <x v="4156"/>
    <n v="24.445"/>
    <n v="25.5"/>
    <n v="24.26"/>
    <x v="2465"/>
    <n v="15.933176"/>
    <n v="94275600"/>
  </r>
  <r>
    <x v="4157"/>
    <n v="25.07"/>
    <n v="25.24"/>
    <n v="24.5"/>
    <x v="2466"/>
    <n v="15.460665000000001"/>
    <n v="58138400"/>
  </r>
  <r>
    <x v="4158"/>
    <n v="24.26"/>
    <n v="24.26"/>
    <n v="23.5"/>
    <x v="2467"/>
    <n v="14.811742000000001"/>
    <n v="74452600"/>
  </r>
  <r>
    <x v="4159"/>
    <n v="23.725000000000001"/>
    <n v="24.299999"/>
    <n v="23.575001"/>
    <x v="2468"/>
    <n v="15.186607"/>
    <n v="80232000"/>
  </r>
  <r>
    <x v="4160"/>
    <n v="23.75"/>
    <n v="23.76"/>
    <n v="22.940000999999999"/>
    <x v="2469"/>
    <n v="14.462084000000001"/>
    <n v="90438800"/>
  </r>
  <r>
    <x v="4161"/>
    <n v="23.875"/>
    <n v="24.135000000000002"/>
    <n v="23.735001"/>
    <x v="2470"/>
    <n v="15.063751"/>
    <n v="69918400"/>
  </r>
  <r>
    <x v="4162"/>
    <n v="23.625"/>
    <n v="24.475000000000001"/>
    <n v="23.315000999999999"/>
    <x v="2471"/>
    <n v="15.340961999999999"/>
    <n v="81653200"/>
  </r>
  <r>
    <x v="4163"/>
    <n v="24.27"/>
    <n v="24.91"/>
    <n v="24.174999"/>
    <x v="2472"/>
    <n v="15.684317"/>
    <n v="83950000"/>
  </r>
  <r>
    <x v="4164"/>
    <n v="25.114999999999998"/>
    <n v="25.549999"/>
    <n v="24.264999"/>
    <x v="2473"/>
    <n v="15.303164000000001"/>
    <n v="77443200"/>
  </r>
  <r>
    <x v="4165"/>
    <n v="24.075001"/>
    <n v="24.15"/>
    <n v="23.51"/>
    <x v="2474"/>
    <n v="14.852698999999999"/>
    <n v="63726800"/>
  </r>
  <r>
    <x v="4166"/>
    <n v="23.450001"/>
    <n v="24.129999000000002"/>
    <n v="23.424999"/>
    <x v="2475"/>
    <n v="15.092101"/>
    <n v="59549200"/>
  </r>
  <r>
    <x v="4167"/>
    <n v="23.799999"/>
    <n v="24.065000999999999"/>
    <n v="23.524999999999999"/>
    <x v="2476"/>
    <n v="15.051149000000001"/>
    <n v="50166200"/>
  </r>
  <r>
    <x v="4168"/>
    <n v="24.334999"/>
    <n v="24.450001"/>
    <n v="23.605"/>
    <x v="2477"/>
    <n v="14.896803999999999"/>
    <n v="73343400"/>
  </r>
  <r>
    <x v="4169"/>
    <n v="23.360001"/>
    <n v="24.120000999999998"/>
    <n v="23.33"/>
    <x v="2478"/>
    <n v="15.041700000000001"/>
    <n v="83951800"/>
  </r>
  <r>
    <x v="4170"/>
    <n v="23.34"/>
    <n v="23.91"/>
    <n v="23.295000000000002"/>
    <x v="2479"/>
    <n v="14.868442"/>
    <n v="77777600"/>
  </r>
  <r>
    <x v="4171"/>
    <n v="23.855"/>
    <n v="24"/>
    <n v="23.65"/>
    <x v="2480"/>
    <n v="14.950354000000001"/>
    <n v="130619200"/>
  </r>
  <r>
    <x v="4172"/>
    <n v="23.299999"/>
    <n v="23.355"/>
    <n v="22.405000999999999"/>
    <x v="2481"/>
    <n v="14.247870000000001"/>
    <n v="89783800"/>
  </r>
  <r>
    <x v="4173"/>
    <n v="22.415001"/>
    <n v="23.24"/>
    <n v="22.315000999999999"/>
    <x v="2482"/>
    <n v="14.377031000000001"/>
    <n v="104142200"/>
  </r>
  <r>
    <x v="4174"/>
    <n v="23.200001"/>
    <n v="23.48"/>
    <n v="22.524999999999999"/>
    <x v="2483"/>
    <n v="14.651085999999999"/>
    <n v="107116600"/>
  </r>
  <r>
    <x v="4175"/>
    <n v="23.555"/>
    <n v="23.75"/>
    <n v="22.975000000000001"/>
    <x v="2484"/>
    <n v="14.553440999999999"/>
    <n v="100852200"/>
  </r>
  <r>
    <x v="4176"/>
    <n v="23.02"/>
    <n v="23.549999"/>
    <n v="22.594999000000001"/>
    <x v="1587"/>
    <n v="14.254175"/>
    <n v="81011600"/>
  </r>
  <r>
    <x v="4177"/>
    <n v="22.434999000000001"/>
    <n v="22.52"/>
    <n v="21.555"/>
    <x v="2485"/>
    <n v="13.778518999999999"/>
    <n v="115577000"/>
  </r>
  <r>
    <x v="4178"/>
    <n v="22.16"/>
    <n v="23.125"/>
    <n v="21.594999000000001"/>
    <x v="2442"/>
    <n v="14.562886000000001"/>
    <n v="110636600"/>
  </r>
  <r>
    <x v="4179"/>
    <n v="23.049999"/>
    <n v="23.405000999999999"/>
    <n v="22.58"/>
    <x v="2486"/>
    <n v="14.36758"/>
    <n v="103488600"/>
  </r>
  <r>
    <x v="4180"/>
    <n v="22.65"/>
    <n v="23.295000000000002"/>
    <n v="22.299999"/>
    <x v="2487"/>
    <n v="14.112423"/>
    <n v="105221400"/>
  </r>
  <r>
    <x v="4181"/>
    <n v="22.695"/>
    <n v="22.785"/>
    <n v="21.844999000000001"/>
    <x v="2488"/>
    <n v="13.787966000000001"/>
    <n v="107120400"/>
  </r>
  <r>
    <x v="4182"/>
    <n v="21.905000999999999"/>
    <n v="22.530000999999999"/>
    <n v="21.844999000000001"/>
    <x v="2489"/>
    <n v="13.876168"/>
    <n v="89790000"/>
  </r>
  <r>
    <x v="4183"/>
    <n v="22.375"/>
    <n v="22.99"/>
    <n v="22.065000999999999"/>
    <x v="2490"/>
    <n v="14.172276"/>
    <n v="115667600"/>
  </r>
  <r>
    <x v="4184"/>
    <n v="22.114999999999998"/>
    <n v="22.725000000000001"/>
    <n v="21.905000999999999"/>
    <x v="2450"/>
    <n v="13.857264000000001"/>
    <n v="123142600"/>
  </r>
  <r>
    <x v="4185"/>
    <n v="22"/>
    <n v="23.309999000000001"/>
    <n v="21.625"/>
    <x v="2491"/>
    <n v="14.610139"/>
    <n v="118515000"/>
  </r>
  <r>
    <x v="4186"/>
    <n v="23.68"/>
    <n v="24.450001"/>
    <n v="23.504999000000002"/>
    <x v="2492"/>
    <n v="15.394513"/>
    <n v="108828800"/>
  </r>
  <r>
    <x v="4187"/>
    <n v="24.125"/>
    <n v="24.665001"/>
    <n v="23.92"/>
    <x v="2493"/>
    <n v="15.526821999999999"/>
    <n v="76216200"/>
  </r>
  <r>
    <x v="4188"/>
    <n v="25.629999000000002"/>
    <n v="26.184999000000001"/>
    <n v="25.325001"/>
    <x v="2494"/>
    <n v="16.471845999999999"/>
    <n v="133374200"/>
  </r>
  <r>
    <x v="4189"/>
    <n v="25.195"/>
    <n v="25.629999000000002"/>
    <n v="25.139999"/>
    <x v="2495"/>
    <n v="15.879629"/>
    <n v="95437400"/>
  </r>
  <r>
    <x v="4190"/>
    <n v="26.139999"/>
    <n v="26.25"/>
    <n v="25.024999999999999"/>
    <x v="2496"/>
    <n v="15.993029"/>
    <n v="182602400"/>
  </r>
  <r>
    <x v="4191"/>
    <n v="26.299999"/>
    <n v="26.6"/>
    <n v="25.57"/>
    <x v="2497"/>
    <n v="16.742750000000001"/>
    <n v="152817200"/>
  </r>
  <r>
    <x v="4192"/>
    <n v="25.985001"/>
    <n v="26.495000999999998"/>
    <n v="25.68"/>
    <x v="2498"/>
    <n v="16.541143000000002"/>
    <n v="112378600"/>
  </r>
  <r>
    <x v="4193"/>
    <n v="25.715"/>
    <n v="25.965"/>
    <n v="25.514999"/>
    <x v="2499"/>
    <n v="16.276537000000001"/>
    <n v="87159000"/>
  </r>
  <r>
    <x v="4194"/>
    <n v="25.715"/>
    <n v="26.629999000000002"/>
    <n v="25.715"/>
    <x v="2500"/>
    <n v="16.758505"/>
    <n v="110866600"/>
  </r>
  <r>
    <x v="4195"/>
    <n v="26.68"/>
    <n v="26.684999000000001"/>
    <n v="25.450001"/>
    <x v="2501"/>
    <n v="16.137934000000001"/>
    <n v="95833400"/>
  </r>
  <r>
    <x v="4196"/>
    <n v="25.625"/>
    <n v="26.4"/>
    <n v="25.58"/>
    <x v="2502"/>
    <n v="16.5947"/>
    <n v="75425800"/>
  </r>
  <r>
    <x v="4197"/>
    <n v="26.700001"/>
    <n v="26.75"/>
    <n v="25.754999000000002"/>
    <x v="2503"/>
    <n v="16.364744000000002"/>
    <n v="79906600"/>
  </r>
  <r>
    <x v="4198"/>
    <n v="26.075001"/>
    <n v="26.245000999999998"/>
    <n v="25.424999"/>
    <x v="2504"/>
    <n v="16.402536000000001"/>
    <n v="90517200"/>
  </r>
  <r>
    <x v="4199"/>
    <n v="26.1"/>
    <n v="26.695"/>
    <n v="25.815000999999999"/>
    <x v="2505"/>
    <n v="16.730149999999998"/>
    <n v="94451200"/>
  </r>
  <r>
    <x v="4200"/>
    <n v="26.594999000000001"/>
    <n v="27.035"/>
    <n v="26.424999"/>
    <x v="2506"/>
    <n v="16.843554000000001"/>
    <n v="105973800"/>
  </r>
  <r>
    <x v="4201"/>
    <n v="26.215"/>
    <n v="26.620000999999998"/>
    <n v="25.950001"/>
    <x v="1666"/>
    <n v="16.695502999999999"/>
    <n v="105097800"/>
  </r>
  <r>
    <x v="4202"/>
    <n v="28.375"/>
    <n v="28.625"/>
    <n v="27.76"/>
    <x v="2235"/>
    <n v="17.672031"/>
    <n v="139964200"/>
  </r>
  <r>
    <x v="4203"/>
    <n v="27.889999"/>
    <n v="28.4"/>
    <n v="27.790001"/>
    <x v="2507"/>
    <n v="17.854733"/>
    <n v="76658200"/>
  </r>
  <r>
    <x v="4204"/>
    <n v="28.495000999999998"/>
    <n v="28.549999"/>
    <n v="27.764999"/>
    <x v="2508"/>
    <n v="17.964991000000001"/>
    <n v="115407000"/>
  </r>
  <r>
    <x v="4205"/>
    <n v="28.1"/>
    <n v="28.309999000000001"/>
    <n v="27.75"/>
    <x v="2509"/>
    <n v="17.643678999999999"/>
    <n v="73699600"/>
  </r>
  <r>
    <x v="4206"/>
    <n v="28"/>
    <n v="28.274999999999999"/>
    <n v="27.504999000000002"/>
    <x v="2510"/>
    <n v="17.357025"/>
    <n v="64522200"/>
  </r>
  <r>
    <x v="4207"/>
    <n v="27.535"/>
    <n v="27.549999"/>
    <n v="26.91"/>
    <x v="2511"/>
    <n v="16.966411999999998"/>
    <n v="58341200"/>
  </r>
  <r>
    <x v="4208"/>
    <n v="27.049999"/>
    <n v="27.715"/>
    <n v="26.950001"/>
    <x v="2512"/>
    <n v="17.171164999999998"/>
    <n v="81398600"/>
  </r>
  <r>
    <x v="4209"/>
    <n v="27.120000999999998"/>
    <n v="27.965"/>
    <n v="27.055"/>
    <x v="2513"/>
    <n v="17.438922999999999"/>
    <n v="107370200"/>
  </r>
  <r>
    <x v="4210"/>
    <n v="27.995000999999998"/>
    <n v="28.5"/>
    <n v="27.934999000000001"/>
    <x v="2514"/>
    <n v="17.952385"/>
    <n v="78337000"/>
  </r>
  <r>
    <x v="4211"/>
    <n v="28.299999"/>
    <n v="28.459999"/>
    <n v="27.834999"/>
    <x v="2515"/>
    <n v="17.857882"/>
    <n v="77533600"/>
  </r>
  <r>
    <x v="4212"/>
    <n v="28.475000000000001"/>
    <n v="28.514999"/>
    <n v="27.870000999999998"/>
    <x v="2516"/>
    <n v="17.593274999999998"/>
    <n v="58086400"/>
  </r>
  <r>
    <x v="4213"/>
    <n v="27.774999999999999"/>
    <n v="27.9"/>
    <n v="27.155000999999999"/>
    <x v="2517"/>
    <n v="17.281420000000001"/>
    <n v="76403400"/>
  </r>
  <r>
    <x v="4214"/>
    <n v="27.504999000000002"/>
    <n v="28.450001"/>
    <n v="27.465"/>
    <x v="2518"/>
    <n v="17.835834999999999"/>
    <n v="76435400"/>
  </r>
  <r>
    <x v="4215"/>
    <n v="28.49"/>
    <n v="29"/>
    <n v="28.389999"/>
    <x v="2519"/>
    <n v="18.220144000000001"/>
    <n v="82922200"/>
  </r>
  <r>
    <x v="4216"/>
    <n v="28.725000000000001"/>
    <n v="29.15"/>
    <n v="28.524999999999999"/>
    <x v="2520"/>
    <n v="18.339853000000002"/>
    <n v="70002000"/>
  </r>
  <r>
    <x v="4217"/>
    <n v="29.030000999999999"/>
    <n v="29.32"/>
    <n v="28.785"/>
    <x v="2521"/>
    <n v="18.343001999999998"/>
    <n v="61583000"/>
  </r>
  <r>
    <x v="4218"/>
    <n v="28.82"/>
    <n v="29.125"/>
    <n v="28.389999"/>
    <x v="2522"/>
    <n v="17.924046000000001"/>
    <n v="68650400"/>
  </r>
  <r>
    <x v="4219"/>
    <n v="28.799999"/>
    <n v="29.305"/>
    <n v="28.700001"/>
    <x v="2523"/>
    <n v="18.295752"/>
    <n v="55191800"/>
  </r>
  <r>
    <x v="4220"/>
    <n v="29.215"/>
    <n v="29.315000999999999"/>
    <n v="28.84"/>
    <x v="2524"/>
    <n v="18.169747999999998"/>
    <n v="28393000"/>
  </r>
  <r>
    <x v="4221"/>
    <n v="29.325001"/>
    <n v="29.48"/>
    <n v="28.504999000000002"/>
    <x v="2525"/>
    <n v="18.172903000000002"/>
    <n v="63735000"/>
  </r>
  <r>
    <x v="4222"/>
    <n v="28.639999"/>
    <n v="28.674999"/>
    <n v="28.204999999999998"/>
    <x v="2526"/>
    <n v="17.864184999999999"/>
    <n v="58457400"/>
  </r>
  <r>
    <x v="4223"/>
    <n v="28.065000999999999"/>
    <n v="28.719999000000001"/>
    <n v="27.91"/>
    <x v="2527"/>
    <n v="17.810635000000001"/>
    <n v="83892000"/>
  </r>
  <r>
    <x v="4224"/>
    <n v="28.475000000000001"/>
    <n v="28.545000000000002"/>
    <n v="27.65"/>
    <x v="2528"/>
    <n v="17.432625000000002"/>
    <n v="68435800"/>
  </r>
  <r>
    <x v="4225"/>
    <n v="27.434999000000001"/>
    <n v="27.870000999999998"/>
    <n v="27.110001"/>
    <x v="2529"/>
    <n v="17.473579000000001"/>
    <n v="71670200"/>
  </r>
  <r>
    <x v="4226"/>
    <n v="27.5"/>
    <n v="27.610001"/>
    <n v="26.754999000000002"/>
    <x v="2530"/>
    <n v="16.862455000000001"/>
    <n v="63862800"/>
  </r>
  <r>
    <x v="4227"/>
    <n v="26.780000999999999"/>
    <n v="27.24"/>
    <n v="26.74"/>
    <x v="2400"/>
    <n v="17.013660000000002"/>
    <n v="63730200"/>
  </r>
  <r>
    <x v="4228"/>
    <n v="26.924999"/>
    <n v="27.504999000000002"/>
    <n v="26.790001"/>
    <x v="2531"/>
    <n v="17.218416000000001"/>
    <n v="69186200"/>
  </r>
  <r>
    <x v="4229"/>
    <n v="27.5"/>
    <n v="27.530000999999999"/>
    <n v="26.844999000000001"/>
    <x v="2532"/>
    <n v="17.064056000000001"/>
    <n v="55242000"/>
  </r>
  <r>
    <x v="4230"/>
    <n v="26.84"/>
    <n v="26.875"/>
    <n v="26.245000999999998"/>
    <x v="2533"/>
    <n v="16.537996"/>
    <n v="65245400"/>
  </r>
  <r>
    <x v="4231"/>
    <n v="26.5"/>
    <n v="27.274999999999999"/>
    <n v="26.334999"/>
    <x v="2534"/>
    <n v="17.161715000000001"/>
    <n v="60140400"/>
  </r>
  <r>
    <x v="4232"/>
    <n v="27.209999"/>
    <n v="27.495000999999998"/>
    <n v="26.889999"/>
    <x v="2421"/>
    <n v="17.123915"/>
    <n v="49549800"/>
  </r>
  <r>
    <x v="4233"/>
    <n v="26.92"/>
    <n v="27.200001"/>
    <n v="26.395"/>
    <x v="2530"/>
    <n v="16.862455000000001"/>
    <n v="62709400"/>
  </r>
  <r>
    <x v="4234"/>
    <n v="26.625"/>
    <n v="27.375"/>
    <n v="26.440000999999999"/>
    <x v="2505"/>
    <n v="16.730149999999998"/>
    <n v="82686600"/>
  </r>
  <r>
    <x v="4235"/>
    <n v="26.745000999999998"/>
    <n v="26.860001"/>
    <n v="26.475000000000001"/>
    <x v="2535"/>
    <n v="16.708099000000001"/>
    <n v="98294600"/>
  </r>
  <r>
    <x v="4236"/>
    <n v="26.524999999999999"/>
    <n v="27.139999"/>
    <n v="26.450001"/>
    <x v="2132"/>
    <n v="17.010508000000002"/>
    <n v="48798400"/>
  </r>
  <r>
    <x v="4237"/>
    <n v="26.77"/>
    <n v="27.114999999999998"/>
    <n v="26.76"/>
    <x v="2536"/>
    <n v="16.953810000000001"/>
    <n v="18386000"/>
  </r>
  <r>
    <x v="4238"/>
    <n v="27.014999"/>
    <n v="27.344999000000001"/>
    <n v="26.584999"/>
    <x v="2537"/>
    <n v="16.818353999999999"/>
    <n v="37228000"/>
  </r>
  <r>
    <x v="4239"/>
    <n v="26.639999"/>
    <n v="27"/>
    <n v="26.450001"/>
    <x v="2538"/>
    <n v="16.686045"/>
    <n v="40891600"/>
  </r>
  <r>
    <x v="4240"/>
    <n v="26.504999000000002"/>
    <n v="26.620000999999998"/>
    <n v="26.135000000000002"/>
    <x v="1698"/>
    <n v="16.616752999999999"/>
    <n v="48019600"/>
  </r>
  <r>
    <x v="4241"/>
    <n v="26.370000999999998"/>
    <n v="26.495000999999998"/>
    <n v="25.629999000000002"/>
    <x v="2539"/>
    <n v="16.285992"/>
    <n v="58208800"/>
  </r>
  <r>
    <x v="4242"/>
    <n v="26.15"/>
    <n v="26.875"/>
    <n v="25.855"/>
    <x v="2540"/>
    <n v="16.92231"/>
    <n v="67025200"/>
  </r>
  <r>
    <x v="4243"/>
    <n v="26.795000000000002"/>
    <n v="26.9"/>
    <n v="26.440000999999999"/>
    <x v="2541"/>
    <n v="16.944355000000002"/>
    <n v="55546800"/>
  </r>
  <r>
    <x v="4244"/>
    <n v="27.01"/>
    <n v="27.614999999999998"/>
    <n v="26.9"/>
    <x v="2542"/>
    <n v="17.253070999999998"/>
    <n v="59456200"/>
  </r>
  <r>
    <x v="4245"/>
    <n v="27.459999"/>
    <n v="28.004999000000002"/>
    <n v="27.34"/>
    <x v="2543"/>
    <n v="17.577525999999999"/>
    <n v="80517400"/>
  </r>
  <r>
    <x v="4246"/>
    <n v="27.684999000000001"/>
    <n v="27.774999999999999"/>
    <n v="27.055"/>
    <x v="2544"/>
    <n v="17.086120999999999"/>
    <n v="64566000"/>
  </r>
  <r>
    <x v="4247"/>
    <n v="27.360001"/>
    <n v="27.959999"/>
    <n v="27.264999"/>
    <x v="2545"/>
    <n v="17.580677000000001"/>
    <n v="61808000"/>
  </r>
  <r>
    <x v="4248"/>
    <n v="27.549999"/>
    <n v="28.15"/>
    <n v="27.450001"/>
    <x v="2546"/>
    <n v="17.615328000000002"/>
    <n v="67730200"/>
  </r>
  <r>
    <x v="4249"/>
    <n v="28.26"/>
    <n v="28.375"/>
    <n v="27.885000000000002"/>
    <x v="2547"/>
    <n v="17.763382"/>
    <n v="60817800"/>
  </r>
  <r>
    <x v="4250"/>
    <n v="28.165001"/>
    <n v="28.5"/>
    <n v="28.094999000000001"/>
    <x v="2548"/>
    <n v="17.946093000000001"/>
    <n v="54206400"/>
  </r>
  <r>
    <x v="4251"/>
    <n v="28.5"/>
    <n v="28.66"/>
    <n v="28.094999000000001"/>
    <x v="2549"/>
    <n v="17.725580000000001"/>
    <n v="59622600"/>
  </r>
  <r>
    <x v="4252"/>
    <n v="28.16"/>
    <n v="28.325001"/>
    <n v="27.555"/>
    <x v="2550"/>
    <n v="17.435777999999999"/>
    <n v="81371000"/>
  </r>
  <r>
    <x v="4253"/>
    <n v="26.469999000000001"/>
    <n v="26.5"/>
    <n v="25.655000999999999"/>
    <x v="2551"/>
    <n v="16.210394000000001"/>
    <n v="155876000"/>
  </r>
  <r>
    <x v="4254"/>
    <n v="25.934999000000001"/>
    <n v="26.075001"/>
    <n v="25.645"/>
    <x v="2552"/>
    <n v="16.169443000000001"/>
    <n v="86159200"/>
  </r>
  <r>
    <x v="4255"/>
    <n v="25.795000000000002"/>
    <n v="26.200001"/>
    <n v="25.454999999999998"/>
    <x v="2553"/>
    <n v="16.065479"/>
    <n v="86948000"/>
  </r>
  <r>
    <x v="4256"/>
    <n v="25.975000000000001"/>
    <n v="26.27"/>
    <n v="25.73"/>
    <x v="2423"/>
    <n v="16.468692999999998"/>
    <n v="71374800"/>
  </r>
  <r>
    <x v="4257"/>
    <n v="26.014999"/>
    <n v="26.024999999999999"/>
    <n v="24.85"/>
    <x v="2554"/>
    <n v="15.703218"/>
    <n v="103027000"/>
  </r>
  <r>
    <x v="4258"/>
    <n v="24.66"/>
    <n v="25.299999"/>
    <n v="24.204999999999998"/>
    <x v="2555"/>
    <n v="15.489015999999999"/>
    <n v="114838600"/>
  </r>
  <r>
    <x v="4259"/>
    <n v="24.844999000000001"/>
    <n v="24.85"/>
    <n v="24.280000999999999"/>
    <x v="2556"/>
    <n v="15.378759000000001"/>
    <n v="86151200"/>
  </r>
  <r>
    <x v="4260"/>
    <n v="24.364999999999998"/>
    <n v="25.02"/>
    <n v="23.965"/>
    <x v="2557"/>
    <n v="15.722123"/>
    <n v="106884000"/>
  </r>
  <r>
    <x v="4261"/>
    <n v="25.08"/>
    <n v="25.084999"/>
    <n v="24.094999000000001"/>
    <x v="2558"/>
    <n v="15.196062"/>
    <n v="87877400"/>
  </r>
  <r>
    <x v="4262"/>
    <n v="23.725000000000001"/>
    <n v="24.174999"/>
    <n v="23.514999"/>
    <x v="2480"/>
    <n v="14.950354000000001"/>
    <n v="106858400"/>
  </r>
  <r>
    <x v="4263"/>
    <n v="23.965"/>
    <n v="24.549999"/>
    <n v="23.73"/>
    <x v="2559"/>
    <n v="15.296856999999999"/>
    <n v="80129800"/>
  </r>
  <r>
    <x v="4264"/>
    <n v="23.9"/>
    <n v="23.969999000000001"/>
    <n v="23.440000999999999"/>
    <x v="2560"/>
    <n v="14.90624"/>
    <n v="81854800"/>
  </r>
  <r>
    <x v="4265"/>
    <n v="23.915001"/>
    <n v="24.264999"/>
    <n v="23.364999999999998"/>
    <x v="2561"/>
    <n v="14.792838"/>
    <n v="101072000"/>
  </r>
  <r>
    <x v="4266"/>
    <n v="23.43"/>
    <n v="23.809999000000001"/>
    <n v="23.280000999999999"/>
    <x v="2562"/>
    <n v="14.937749"/>
    <n v="83312000"/>
  </r>
  <r>
    <x v="4267"/>
    <n v="23.940000999999999"/>
    <n v="23.975000000000001"/>
    <n v="23.204999999999998"/>
    <x v="2563"/>
    <n v="14.673143"/>
    <n v="75208000"/>
  </r>
  <r>
    <x v="4268"/>
    <n v="23.4"/>
    <n v="23.76"/>
    <n v="23.27"/>
    <x v="2564"/>
    <n v="14.925151"/>
    <n v="74081400"/>
  </r>
  <r>
    <x v="4269"/>
    <n v="23.65"/>
    <n v="23.834999"/>
    <n v="23"/>
    <x v="2565"/>
    <n v="14.629042"/>
    <n v="84292000"/>
  </r>
  <r>
    <x v="4270"/>
    <n v="23.274999999999999"/>
    <n v="23.549999"/>
    <n v="23.129999000000002"/>
    <x v="2565"/>
    <n v="14.629042"/>
    <n v="71315200"/>
  </r>
  <r>
    <x v="4271"/>
    <n v="23.204999999999998"/>
    <n v="23.559999000000001"/>
    <n v="23.065000999999999"/>
    <x v="2566"/>
    <n v="14.802292"/>
    <n v="73558200"/>
  </r>
  <r>
    <x v="4272"/>
    <n v="23.625"/>
    <n v="24.25"/>
    <n v="23.385000000000002"/>
    <x v="2567"/>
    <n v="15.214957999999999"/>
    <n v="90446400"/>
  </r>
  <r>
    <x v="4273"/>
    <n v="24.620000999999998"/>
    <n v="24.99"/>
    <n v="24.4"/>
    <x v="2568"/>
    <n v="15.725267000000001"/>
    <n v="57415500"/>
  </r>
  <r>
    <x v="4274"/>
    <n v="24.82"/>
    <n v="24.879999000000002"/>
    <n v="24.17"/>
    <x v="2569"/>
    <n v="15.504056"/>
    <n v="46902700"/>
  </r>
  <r>
    <x v="4275"/>
    <n v="24.77"/>
    <n v="24.870000999999998"/>
    <n v="24.1"/>
    <x v="2570"/>
    <n v="15.257561000000001"/>
    <n v="50897200"/>
  </r>
  <r>
    <x v="4276"/>
    <n v="24.290001"/>
    <n v="24.799999"/>
    <n v="23.700001"/>
    <x v="2571"/>
    <n v="15.567257"/>
    <n v="56853200"/>
  </r>
  <r>
    <x v="4277"/>
    <n v="24.440000999999999"/>
    <n v="24.5"/>
    <n v="23.84"/>
    <x v="2572"/>
    <n v="15.213312999999999"/>
    <n v="62403700"/>
  </r>
  <r>
    <x v="4278"/>
    <n v="23.540001"/>
    <n v="24.27"/>
    <n v="23.379999000000002"/>
    <x v="2573"/>
    <n v="15.289159"/>
    <n v="68113000"/>
  </r>
  <r>
    <x v="4279"/>
    <n v="24.07"/>
    <n v="24.469999000000001"/>
    <n v="23.58"/>
    <x v="2574"/>
    <n v="14.922577"/>
    <n v="57096000"/>
  </r>
  <r>
    <x v="4280"/>
    <n v="23.9"/>
    <n v="24.209999"/>
    <n v="23.299999"/>
    <x v="2575"/>
    <n v="14.903619000000001"/>
    <n v="75434300"/>
  </r>
  <r>
    <x v="4281"/>
    <n v="23.74"/>
    <n v="24.07"/>
    <n v="23.549999"/>
    <x v="2576"/>
    <n v="14.979457"/>
    <n v="56585400"/>
  </r>
  <r>
    <x v="4282"/>
    <n v="24.02"/>
    <n v="24.120000999999998"/>
    <n v="23.4"/>
    <x v="2577"/>
    <n v="14.878329000000001"/>
    <n v="50653500"/>
  </r>
  <r>
    <x v="4283"/>
    <n v="23.58"/>
    <n v="23.66"/>
    <n v="23.059999000000001"/>
    <x v="2578"/>
    <n v="14.581276000000001"/>
    <n v="56605700"/>
  </r>
  <r>
    <x v="4284"/>
    <n v="23.07"/>
    <n v="23.549999"/>
    <n v="23.049999"/>
    <x v="2579"/>
    <n v="14.815129000000001"/>
    <n v="55415900"/>
  </r>
  <r>
    <x v="4285"/>
    <n v="23.17"/>
    <n v="23.5"/>
    <n v="23.129999000000002"/>
    <x v="2580"/>
    <n v="14.707682999999999"/>
    <n v="54607600"/>
  </r>
  <r>
    <x v="4286"/>
    <n v="22.950001"/>
    <n v="23.790001"/>
    <n v="22.9"/>
    <x v="2581"/>
    <n v="14.890974"/>
    <n v="66167600"/>
  </r>
  <r>
    <x v="4287"/>
    <n v="23.309999000000001"/>
    <n v="23.459999"/>
    <n v="22.889999"/>
    <x v="2582"/>
    <n v="14.505424"/>
    <n v="48413600"/>
  </r>
  <r>
    <x v="4288"/>
    <n v="23.059999000000001"/>
    <n v="23.26"/>
    <n v="22.76"/>
    <x v="2583"/>
    <n v="14.410621000000001"/>
    <n v="53990700"/>
  </r>
  <r>
    <x v="4289"/>
    <n v="22.809999000000001"/>
    <n v="23.440000999999999"/>
    <n v="22.549999"/>
    <x v="2584"/>
    <n v="14.783517"/>
    <n v="72379500"/>
  </r>
  <r>
    <x v="4290"/>
    <n v="23.719999000000001"/>
    <n v="24.74"/>
    <n v="23.440000999999999"/>
    <x v="2585"/>
    <n v="15.592546"/>
    <n v="80701300"/>
  </r>
  <r>
    <x v="4291"/>
    <n v="24.68"/>
    <n v="24.959999"/>
    <n v="24.26"/>
    <x v="2586"/>
    <n v="15.712626999999999"/>
    <n v="75451400"/>
  </r>
  <r>
    <x v="4292"/>
    <n v="24.52"/>
    <n v="25.950001"/>
    <n v="24.33"/>
    <x v="2435"/>
    <n v="16.388923999999999"/>
    <n v="100983800"/>
  </r>
  <r>
    <x v="4293"/>
    <n v="25.889999"/>
    <n v="26.040001"/>
    <n v="25.5"/>
    <x v="2587"/>
    <n v="16.458441000000001"/>
    <n v="78108800"/>
  </r>
  <r>
    <x v="4294"/>
    <n v="25.98"/>
    <n v="26.43"/>
    <n v="25.74"/>
    <x v="2407"/>
    <n v="16.635414000000001"/>
    <n v="73652100"/>
  </r>
  <r>
    <x v="4295"/>
    <n v="26.02"/>
    <n v="26.52"/>
    <n v="25.67"/>
    <x v="2533"/>
    <n v="16.591173000000001"/>
    <n v="71798500"/>
  </r>
  <r>
    <x v="4296"/>
    <n v="26.75"/>
    <n v="26.799999"/>
    <n v="26.030000999999999"/>
    <x v="2588"/>
    <n v="16.793423000000001"/>
    <n v="85586800"/>
  </r>
  <r>
    <x v="4297"/>
    <n v="25.549999"/>
    <n v="25.93"/>
    <n v="25.18"/>
    <x v="2465"/>
    <n v="15.984408999999999"/>
    <n v="61105200"/>
  </r>
  <r>
    <x v="4298"/>
    <n v="25.6"/>
    <n v="25.75"/>
    <n v="25.030000999999999"/>
    <x v="2589"/>
    <n v="16.110817000000001"/>
    <n v="63595100"/>
  </r>
  <r>
    <x v="4299"/>
    <n v="25.459999"/>
    <n v="25.620000999999998"/>
    <n v="25.24"/>
    <x v="2590"/>
    <n v="15.959133"/>
    <n v="51673600"/>
  </r>
  <r>
    <x v="4300"/>
    <n v="24.940000999999999"/>
    <n v="25.26"/>
    <n v="24.59"/>
    <x v="2591"/>
    <n v="15.8264"/>
    <n v="60043300"/>
  </r>
  <r>
    <x v="4301"/>
    <n v="24.67"/>
    <n v="25.1"/>
    <n v="24.6"/>
    <x v="2585"/>
    <n v="15.592546"/>
    <n v="39584600"/>
  </r>
  <r>
    <x v="4302"/>
    <n v="24.25"/>
    <n v="24.709999"/>
    <n v="24.01"/>
    <x v="2592"/>
    <n v="15.301793"/>
    <n v="71384000"/>
  </r>
  <r>
    <x v="4303"/>
    <n v="24.459999"/>
    <n v="24.700001"/>
    <n v="24.25"/>
    <x v="2471"/>
    <n v="15.390292000000001"/>
    <n v="49803200"/>
  </r>
  <r>
    <x v="4304"/>
    <n v="25.1"/>
    <n v="26"/>
    <n v="25.1"/>
    <x v="2430"/>
    <n v="16.256188999999999"/>
    <n v="68282500"/>
  </r>
  <r>
    <x v="4305"/>
    <n v="25.99"/>
    <n v="26.09"/>
    <n v="25.6"/>
    <x v="2551"/>
    <n v="16.262508"/>
    <n v="57394300"/>
  </r>
  <r>
    <x v="4306"/>
    <n v="25.76"/>
    <n v="25.799999"/>
    <n v="24.93"/>
    <x v="2593"/>
    <n v="15.858003"/>
    <n v="55740600"/>
  </r>
  <r>
    <x v="4307"/>
    <n v="26.23"/>
    <n v="26.43"/>
    <n v="25.17"/>
    <x v="2594"/>
    <n v="15.908561000000001"/>
    <n v="65627100"/>
  </r>
  <r>
    <x v="4308"/>
    <n v="25.309999000000001"/>
    <n v="25.83"/>
    <n v="25.200001"/>
    <x v="2595"/>
    <n v="16.167701999999998"/>
    <n v="54132100"/>
  </r>
  <r>
    <x v="4309"/>
    <n v="25.610001"/>
    <n v="25.67"/>
    <n v="24.540001"/>
    <x v="2596"/>
    <n v="15.529337"/>
    <n v="76875800"/>
  </r>
  <r>
    <x v="4310"/>
    <n v="24.709999"/>
    <n v="24.790001"/>
    <n v="24.280000999999999"/>
    <x v="2597"/>
    <n v="15.541978"/>
    <n v="51608900"/>
  </r>
  <r>
    <x v="4311"/>
    <n v="24.889999"/>
    <n v="25.18"/>
    <n v="23.950001"/>
    <x v="2598"/>
    <n v="15.295481000000001"/>
    <n v="71565500"/>
  </r>
  <r>
    <x v="4312"/>
    <n v="24.27"/>
    <n v="24.879999000000002"/>
    <n v="24"/>
    <x v="2599"/>
    <n v="15.649430000000001"/>
    <n v="51599600"/>
  </r>
  <r>
    <x v="4313"/>
    <n v="24.68"/>
    <n v="24.790001"/>
    <n v="24.1"/>
    <x v="2600"/>
    <n v="15.548297"/>
    <n v="63399000"/>
  </r>
  <r>
    <x v="4314"/>
    <n v="25.6"/>
    <n v="25.74"/>
    <n v="24.6"/>
    <x v="2601"/>
    <n v="15.750555"/>
    <n v="86178700"/>
  </r>
  <r>
    <x v="4315"/>
    <n v="24.77"/>
    <n v="25.540001"/>
    <n v="24.74"/>
    <x v="2553"/>
    <n v="16.117135999999999"/>
    <n v="58356600"/>
  </r>
  <r>
    <x v="4316"/>
    <n v="25.610001"/>
    <n v="25.610001"/>
    <n v="25.08"/>
    <x v="2602"/>
    <n v="15.933844000000001"/>
    <n v="41557800"/>
  </r>
  <r>
    <x v="4317"/>
    <n v="25.059999000000001"/>
    <n v="25.799999"/>
    <n v="25.030000999999999"/>
    <x v="2603"/>
    <n v="16.281472999999998"/>
    <n v="58844000"/>
  </r>
  <r>
    <x v="4318"/>
    <n v="25.75"/>
    <n v="25.99"/>
    <n v="25.469999000000001"/>
    <x v="2430"/>
    <n v="16.256188999999999"/>
    <n v="55559300"/>
  </r>
  <r>
    <x v="4319"/>
    <n v="25.48"/>
    <n v="25.719999000000001"/>
    <n v="25.32"/>
    <x v="2589"/>
    <n v="16.110817000000001"/>
    <n v="51703600"/>
  </r>
  <r>
    <x v="4320"/>
    <n v="25.33"/>
    <n v="25.639999"/>
    <n v="25.17"/>
    <x v="2604"/>
    <n v="15.940166"/>
    <n v="53657400"/>
  </r>
  <r>
    <x v="4321"/>
    <n v="25.389999"/>
    <n v="25.940000999999999"/>
    <n v="25.32"/>
    <x v="2605"/>
    <n v="16.268829"/>
    <n v="56287600"/>
  </r>
  <r>
    <x v="4322"/>
    <n v="25.950001"/>
    <n v="26.25"/>
    <n v="25.68"/>
    <x v="2606"/>
    <n v="16.306757000000001"/>
    <n v="65877300"/>
  </r>
  <r>
    <x v="4323"/>
    <n v="25.73"/>
    <n v="25.879999000000002"/>
    <n v="25.25"/>
    <x v="2607"/>
    <n v="16.161384999999999"/>
    <n v="55566800"/>
  </r>
  <r>
    <x v="4324"/>
    <n v="25.540001"/>
    <n v="25.950001"/>
    <n v="25.34"/>
    <x v="2430"/>
    <n v="16.256188999999999"/>
    <n v="42085800"/>
  </r>
  <r>
    <x v="4325"/>
    <n v="25.65"/>
    <n v="26.290001"/>
    <n v="25.559999000000001"/>
    <x v="2608"/>
    <n v="16.496365000000001"/>
    <n v="52695400"/>
  </r>
  <r>
    <x v="4326"/>
    <n v="26.25"/>
    <n v="26.389999"/>
    <n v="25.84"/>
    <x v="2609"/>
    <n v="16.344671000000002"/>
    <n v="50391500"/>
  </r>
  <r>
    <x v="4327"/>
    <n v="25.860001"/>
    <n v="26.5"/>
    <n v="25.82"/>
    <x v="2610"/>
    <n v="16.667014999999999"/>
    <n v="54299500"/>
  </r>
  <r>
    <x v="4328"/>
    <n v="26.110001"/>
    <n v="26.35"/>
    <n v="25.84"/>
    <x v="2413"/>
    <n v="16.426842000000001"/>
    <n v="49120000"/>
  </r>
  <r>
    <x v="4329"/>
    <n v="25.75"/>
    <n v="26.139999"/>
    <n v="25.709999"/>
    <x v="2605"/>
    <n v="16.268829"/>
    <n v="46401400"/>
  </r>
  <r>
    <x v="4330"/>
    <n v="25.9"/>
    <n v="26.5"/>
    <n v="25.889999"/>
    <x v="2611"/>
    <n v="16.660698"/>
    <n v="58913600"/>
  </r>
  <r>
    <x v="4331"/>
    <n v="26.15"/>
    <n v="26.469999000000001"/>
    <n v="26.059999000000001"/>
    <x v="2612"/>
    <n v="16.559567999999999"/>
    <n v="53900800"/>
  </r>
  <r>
    <x v="4332"/>
    <n v="26.040001"/>
    <n v="26.200001"/>
    <n v="25.889999"/>
    <x v="2413"/>
    <n v="16.426842000000001"/>
    <n v="44501900"/>
  </r>
  <r>
    <x v="4333"/>
    <n v="26.08"/>
    <n v="26.18"/>
    <n v="25.540001"/>
    <x v="2613"/>
    <n v="16.192986999999999"/>
    <n v="45021000"/>
  </r>
  <r>
    <x v="4334"/>
    <n v="25.85"/>
    <n v="26.01"/>
    <n v="25.57"/>
    <x v="2614"/>
    <n v="16.300436000000001"/>
    <n v="45450200"/>
  </r>
  <r>
    <x v="4335"/>
    <n v="25.879999000000002"/>
    <n v="26.049999"/>
    <n v="25.41"/>
    <x v="2607"/>
    <n v="16.161384999999999"/>
    <n v="60620900"/>
  </r>
  <r>
    <x v="4336"/>
    <n v="25.4"/>
    <n v="25.540001"/>
    <n v="24.74"/>
    <x v="2599"/>
    <n v="15.649430000000001"/>
    <n v="55336300"/>
  </r>
  <r>
    <x v="4337"/>
    <n v="24.860001"/>
    <n v="25"/>
    <n v="24.5"/>
    <x v="2571"/>
    <n v="15.567257"/>
    <n v="52677600"/>
  </r>
  <r>
    <x v="4338"/>
    <n v="24.629999000000002"/>
    <n v="24.709999"/>
    <n v="23.889999"/>
    <x v="2615"/>
    <n v="15.188037"/>
    <n v="108960900"/>
  </r>
  <r>
    <x v="4339"/>
    <n v="24.200001"/>
    <n v="24.27"/>
    <n v="24.040001"/>
    <x v="2616"/>
    <n v="15.270201999999999"/>
    <n v="93157100"/>
  </r>
  <r>
    <x v="4340"/>
    <n v="24.200001"/>
    <n v="24.540001"/>
    <n v="24.030000999999999"/>
    <x v="2617"/>
    <n v="15.308118"/>
    <n v="76968000"/>
  </r>
  <r>
    <x v="4341"/>
    <n v="24.25"/>
    <n v="24.889999"/>
    <n v="24.219999000000001"/>
    <x v="2618"/>
    <n v="15.668386999999999"/>
    <n v="68486800"/>
  </r>
  <r>
    <x v="4342"/>
    <n v="24.780000999999999"/>
    <n v="24.870000999999998"/>
    <n v="24.299999"/>
    <x v="2556"/>
    <n v="15.42821"/>
    <n v="91467000"/>
  </r>
  <r>
    <x v="4343"/>
    <n v="24.469999000000001"/>
    <n v="24.67"/>
    <n v="24.23"/>
    <x v="2619"/>
    <n v="15.421886000000001"/>
    <n v="75451300"/>
  </r>
  <r>
    <x v="4344"/>
    <n v="24.73"/>
    <n v="24.91"/>
    <n v="24.51"/>
    <x v="2620"/>
    <n v="15.554618"/>
    <n v="85096700"/>
  </r>
  <r>
    <x v="4345"/>
    <n v="24.98"/>
    <n v="25.030000999999999"/>
    <n v="24.57"/>
    <x v="2621"/>
    <n v="15.573579000000001"/>
    <n v="66310800"/>
  </r>
  <r>
    <x v="4346"/>
    <n v="24.75"/>
    <n v="24.92"/>
    <n v="24.57"/>
    <x v="2622"/>
    <n v="15.725267000000001"/>
    <n v="61058200"/>
  </r>
  <r>
    <x v="4347"/>
    <n v="24.99"/>
    <n v="25.219999000000001"/>
    <n v="24.74"/>
    <x v="2623"/>
    <n v="15.71895"/>
    <n v="83484600"/>
  </r>
  <r>
    <x v="4348"/>
    <n v="24.469999000000001"/>
    <n v="24.52"/>
    <n v="24.01"/>
    <x v="2624"/>
    <n v="15.225954"/>
    <n v="115877900"/>
  </r>
  <r>
    <x v="4349"/>
    <n v="24.440000999999999"/>
    <n v="24.559999000000001"/>
    <n v="23.65"/>
    <x v="2625"/>
    <n v="14.960497"/>
    <n v="119629400"/>
  </r>
  <r>
    <x v="4350"/>
    <n v="23.719999000000001"/>
    <n v="23.98"/>
    <n v="23.6"/>
    <x v="2626"/>
    <n v="15.011058999999999"/>
    <n v="73610000"/>
  </r>
  <r>
    <x v="4351"/>
    <n v="23.940000999999999"/>
    <n v="24.75"/>
    <n v="23.85"/>
    <x v="2627"/>
    <n v="15.598865"/>
    <n v="80655300"/>
  </r>
  <r>
    <x v="4352"/>
    <n v="24.67"/>
    <n v="24.959999"/>
    <n v="24.42"/>
    <x v="2622"/>
    <n v="15.725267000000001"/>
    <n v="75768600"/>
  </r>
  <r>
    <x v="4353"/>
    <n v="24.969999000000001"/>
    <n v="25.139999"/>
    <n v="24.74"/>
    <x v="2410"/>
    <n v="15.794801"/>
    <n v="66177700"/>
  </r>
  <r>
    <x v="4354"/>
    <n v="25.200001"/>
    <n v="25.25"/>
    <n v="24.49"/>
    <x v="2628"/>
    <n v="15.5799"/>
    <n v="55157500"/>
  </r>
  <r>
    <x v="4355"/>
    <n v="24.799999"/>
    <n v="25.42"/>
    <n v="24.67"/>
    <x v="2629"/>
    <n v="16.047619000000001"/>
    <n v="69658600"/>
  </r>
  <r>
    <x v="4356"/>
    <n v="25.639999"/>
    <n v="26.139999"/>
    <n v="25.530000999999999"/>
    <x v="2630"/>
    <n v="16.407876999999999"/>
    <n v="122213900"/>
  </r>
  <r>
    <x v="4357"/>
    <n v="25.98"/>
    <n v="26.43"/>
    <n v="25.709999"/>
    <x v="2631"/>
    <n v="16.477405999999998"/>
    <n v="89957700"/>
  </r>
  <r>
    <x v="4358"/>
    <n v="26.09"/>
    <n v="26.389999"/>
    <n v="26.01"/>
    <x v="2631"/>
    <n v="16.477405999999998"/>
    <n v="63626900"/>
  </r>
  <r>
    <x v="4359"/>
    <n v="26.34"/>
    <n v="26.379999000000002"/>
    <n v="26.01"/>
    <x v="2429"/>
    <n v="16.641739000000001"/>
    <n v="86048900"/>
  </r>
  <r>
    <x v="4360"/>
    <n v="26.139999"/>
    <n v="26.24"/>
    <n v="25.49"/>
    <x v="2632"/>
    <n v="16.294112999999999"/>
    <n v="52584500"/>
  </r>
  <r>
    <x v="4361"/>
    <n v="25.65"/>
    <n v="26.040001"/>
    <n v="25.52"/>
    <x v="2633"/>
    <n v="16.243545999999998"/>
    <n v="51820300"/>
  </r>
  <r>
    <x v="4362"/>
    <n v="25.639999"/>
    <n v="25.99"/>
    <n v="25.139999"/>
    <x v="2634"/>
    <n v="15.965450000000001"/>
    <n v="60483500"/>
  </r>
  <r>
    <x v="4363"/>
    <n v="25.389999"/>
    <n v="26.51"/>
    <n v="25.209999"/>
    <x v="2386"/>
    <n v="16.275145999999999"/>
    <n v="51758100"/>
  </r>
  <r>
    <x v="4364"/>
    <n v="25.950001"/>
    <n v="26.34"/>
    <n v="25.530000999999999"/>
    <x v="2635"/>
    <n v="16.199307999999998"/>
    <n v="76040300"/>
  </r>
  <r>
    <x v="4365"/>
    <n v="25.940000999999999"/>
    <n v="26.120000999999998"/>
    <n v="25.5"/>
    <x v="2636"/>
    <n v="16.205618000000001"/>
    <n v="48073100"/>
  </r>
  <r>
    <x v="4366"/>
    <n v="25.59"/>
    <n v="26.200001"/>
    <n v="25.389999"/>
    <x v="2637"/>
    <n v="16.527964000000001"/>
    <n v="60926000"/>
  </r>
  <r>
    <x v="4367"/>
    <n v="26.5"/>
    <n v="26.93"/>
    <n v="26.450001"/>
    <x v="2638"/>
    <n v="16.989363000000001"/>
    <n v="94069300"/>
  </r>
  <r>
    <x v="4368"/>
    <n v="26.690000999999999"/>
    <n v="26.950001"/>
    <n v="26.41"/>
    <x v="1666"/>
    <n v="16.749186000000002"/>
    <n v="39440900"/>
  </r>
  <r>
    <x v="4369"/>
    <n v="27.02"/>
    <n v="27.549999"/>
    <n v="26.950001"/>
    <x v="2639"/>
    <n v="17.330666999999998"/>
    <n v="88960800"/>
  </r>
  <r>
    <x v="4370"/>
    <n v="27.26"/>
    <n v="27.799999"/>
    <n v="27.25"/>
    <x v="2238"/>
    <n v="17.507641"/>
    <n v="61896800"/>
  </r>
  <r>
    <x v="4371"/>
    <n v="27.559999000000001"/>
    <n v="27.700001"/>
    <n v="27.25"/>
    <x v="2640"/>
    <n v="17.362266999999999"/>
    <n v="62300700"/>
  </r>
  <r>
    <x v="4372"/>
    <n v="27.25"/>
    <n v="27.42"/>
    <n v="26.59"/>
    <x v="2536"/>
    <n v="17.008326"/>
    <n v="55350800"/>
  </r>
  <r>
    <x v="4373"/>
    <n v="26.950001"/>
    <n v="27.450001"/>
    <n v="26.889999"/>
    <x v="2641"/>
    <n v="17.261140999999999"/>
    <n v="50377300"/>
  </r>
  <r>
    <x v="4374"/>
    <n v="27.629999000000002"/>
    <n v="27.809999000000001"/>
    <n v="27.049999"/>
    <x v="2642"/>
    <n v="17.318026"/>
    <n v="60464400"/>
  </r>
  <r>
    <x v="4375"/>
    <n v="27.469999000000001"/>
    <n v="27.530000999999999"/>
    <n v="27.1"/>
    <x v="2643"/>
    <n v="17.235859000000001"/>
    <n v="53567600"/>
  </r>
  <r>
    <x v="4376"/>
    <n v="27.559999000000001"/>
    <n v="27.620000999999998"/>
    <n v="27.200001"/>
    <x v="2644"/>
    <n v="17.393868999999999"/>
    <n v="49838900"/>
  </r>
  <r>
    <x v="4377"/>
    <n v="27.139999"/>
    <n v="27.27"/>
    <n v="26.540001"/>
    <x v="2645"/>
    <n v="16.869274000000001"/>
    <n v="72805000"/>
  </r>
  <r>
    <x v="4378"/>
    <n v="27.110001"/>
    <n v="27.23"/>
    <n v="26.75"/>
    <x v="2646"/>
    <n v="16.995684000000001"/>
    <n v="63388400"/>
  </r>
  <r>
    <x v="4379"/>
    <n v="26.870000999999998"/>
    <n v="26.91"/>
    <n v="26"/>
    <x v="2587"/>
    <n v="16.458441000000001"/>
    <n v="48480800"/>
  </r>
  <r>
    <x v="4380"/>
    <n v="26.280000999999999"/>
    <n v="26.559999000000001"/>
    <n v="26.129999000000002"/>
    <x v="2647"/>
    <n v="16.673342000000002"/>
    <n v="51791000"/>
  </r>
  <r>
    <x v="4381"/>
    <n v="26.42"/>
    <n v="26.65"/>
    <n v="26.139999"/>
    <x v="2648"/>
    <n v="16.717583000000001"/>
    <n v="49828200"/>
  </r>
  <r>
    <x v="4382"/>
    <n v="26.780000999999999"/>
    <n v="26.92"/>
    <n v="25.98"/>
    <x v="2438"/>
    <n v="16.433163"/>
    <n v="53556600"/>
  </r>
  <r>
    <x v="4383"/>
    <n v="26.280000999999999"/>
    <n v="26.950001"/>
    <n v="26.07"/>
    <x v="2646"/>
    <n v="16.995684000000001"/>
    <n v="54173000"/>
  </r>
  <r>
    <x v="4384"/>
    <n v="26.940000999999999"/>
    <n v="27"/>
    <n v="26.49"/>
    <x v="2649"/>
    <n v="16.818715999999998"/>
    <n v="52658300"/>
  </r>
  <r>
    <x v="4385"/>
    <n v="26.879999000000002"/>
    <n v="26.9"/>
    <n v="26.24"/>
    <x v="2650"/>
    <n v="16.730225000000001"/>
    <n v="62391100"/>
  </r>
  <r>
    <x v="4386"/>
    <n v="26.459999"/>
    <n v="26.57"/>
    <n v="26.17"/>
    <x v="2651"/>
    <n v="16.578527000000001"/>
    <n v="41240300"/>
  </r>
  <r>
    <x v="4387"/>
    <n v="26.6"/>
    <n v="26.99"/>
    <n v="26.309999000000001"/>
    <x v="2414"/>
    <n v="16.692305000000001"/>
    <n v="64504800"/>
  </r>
  <r>
    <x v="4388"/>
    <n v="26.33"/>
    <n v="26.51"/>
    <n v="26.120000999999998"/>
    <x v="2652"/>
    <n v="16.540613"/>
    <n v="42649700"/>
  </r>
  <r>
    <x v="4389"/>
    <n v="26.15"/>
    <n v="26.41"/>
    <n v="25.75"/>
    <x v="2653"/>
    <n v="16.546934"/>
    <n v="51825600"/>
  </r>
  <r>
    <x v="4390"/>
    <n v="26.309999000000001"/>
    <n v="26.540001"/>
    <n v="25.6"/>
    <x v="2654"/>
    <n v="16.218260000000001"/>
    <n v="58825800"/>
  </r>
  <r>
    <x v="4391"/>
    <n v="25.540001"/>
    <n v="26.190000999999999"/>
    <n v="25.43"/>
    <x v="2246"/>
    <n v="16.211945"/>
    <n v="56294900"/>
  </r>
  <r>
    <x v="4392"/>
    <n v="25.719999000000001"/>
    <n v="25.809999000000001"/>
    <n v="25.450001"/>
    <x v="2655"/>
    <n v="16.249867999999999"/>
    <n v="44258500"/>
  </r>
  <r>
    <x v="4393"/>
    <n v="25.879999000000002"/>
    <n v="25.98"/>
    <n v="25.5"/>
    <x v="2595"/>
    <n v="16.167701999999998"/>
    <n v="33241400"/>
  </r>
  <r>
    <x v="4394"/>
    <n v="25.610001"/>
    <n v="25.99"/>
    <n v="25.540001"/>
    <x v="2656"/>
    <n v="16.186668000000001"/>
    <n v="36433900"/>
  </r>
  <r>
    <x v="4395"/>
    <n v="25.709999"/>
    <n v="25.77"/>
    <n v="25.450001"/>
    <x v="2551"/>
    <n v="16.262508"/>
    <n v="38208400"/>
  </r>
  <r>
    <x v="4396"/>
    <n v="25.790001"/>
    <n v="25.889999"/>
    <n v="25.5"/>
    <x v="2657"/>
    <n v="16.180346"/>
    <n v="39636900"/>
  </r>
  <r>
    <x v="4397"/>
    <n v="25.66"/>
    <n v="25.709999"/>
    <n v="25.52"/>
    <x v="2635"/>
    <n v="16.199307999999998"/>
    <n v="37338300"/>
  </r>
  <r>
    <x v="4398"/>
    <n v="25.610001"/>
    <n v="25.66"/>
    <n v="25.43"/>
    <x v="2658"/>
    <n v="16.142423999999998"/>
    <n v="27607900"/>
  </r>
  <r>
    <x v="4399"/>
    <n v="25.559999000000001"/>
    <n v="25.83"/>
    <n v="25.459999"/>
    <x v="2633"/>
    <n v="16.243545999999998"/>
    <n v="45817400"/>
  </r>
  <r>
    <x v="4400"/>
    <n v="25.85"/>
    <n v="26.65"/>
    <n v="25.77"/>
    <x v="2659"/>
    <n v="16.825029000000001"/>
    <n v="72952900"/>
  </r>
  <r>
    <x v="4401"/>
    <n v="26.299999"/>
    <n v="26.530000999999999"/>
    <n v="26"/>
    <x v="2648"/>
    <n v="16.717583000000001"/>
    <n v="56739300"/>
  </r>
  <r>
    <x v="4402"/>
    <n v="26.65"/>
    <n v="26.73"/>
    <n v="26.129999000000002"/>
    <x v="2660"/>
    <n v="16.584848000000001"/>
    <n v="63802700"/>
  </r>
  <r>
    <x v="4403"/>
    <n v="26.780000999999999"/>
    <n v="26.950001"/>
    <n v="26.209999"/>
    <x v="2661"/>
    <n v="16.572209999999998"/>
    <n v="65846300"/>
  </r>
  <r>
    <x v="4404"/>
    <n v="26.309999000000001"/>
    <n v="26.540001"/>
    <n v="26.23"/>
    <x v="1666"/>
    <n v="16.749186000000002"/>
    <n v="36132900"/>
  </r>
  <r>
    <x v="4405"/>
    <n v="26.309999000000001"/>
    <n v="26.67"/>
    <n v="25.959999"/>
    <x v="2588"/>
    <n v="16.793423000000001"/>
    <n v="47546000"/>
  </r>
  <r>
    <x v="4406"/>
    <n v="26.51"/>
    <n v="26.58"/>
    <n v="26.299999"/>
    <x v="2662"/>
    <n v="16.698618"/>
    <n v="30633900"/>
  </r>
  <r>
    <x v="4407"/>
    <n v="26.5"/>
    <n v="26.58"/>
    <n v="26.24"/>
    <x v="2384"/>
    <n v="16.755504999999999"/>
    <n v="46211200"/>
  </r>
  <r>
    <x v="4408"/>
    <n v="26.459999"/>
    <n v="26.549999"/>
    <n v="26.35"/>
    <x v="2535"/>
    <n v="16.761832999999999"/>
    <n v="34503000"/>
  </r>
  <r>
    <x v="4409"/>
    <n v="26.700001"/>
    <n v="27.299999"/>
    <n v="26.469999000000001"/>
    <x v="2663"/>
    <n v="17.229536"/>
    <n v="74168900"/>
  </r>
  <r>
    <x v="4410"/>
    <n v="27.42"/>
    <n v="28.4"/>
    <n v="27.379999000000002"/>
    <x v="2664"/>
    <n v="17.886858"/>
    <n v="109437800"/>
  </r>
  <r>
    <x v="4411"/>
    <n v="28.1"/>
    <n v="28.469999000000001"/>
    <n v="27.99"/>
    <x v="2665"/>
    <n v="17.969034000000001"/>
    <n v="59840800"/>
  </r>
  <r>
    <x v="4412"/>
    <n v="28.23"/>
    <n v="28.75"/>
    <n v="28.17"/>
    <x v="2666"/>
    <n v="17.937428000000001"/>
    <n v="64024500"/>
  </r>
  <r>
    <x v="4413"/>
    <n v="28.389999"/>
    <n v="28.92"/>
    <n v="28.34"/>
    <x v="2524"/>
    <n v="18.228166999999999"/>
    <n v="46105300"/>
  </r>
  <r>
    <x v="4414"/>
    <n v="28.65"/>
    <n v="28.709999"/>
    <n v="28.309999000000001"/>
    <x v="2667"/>
    <n v="17.93111"/>
    <n v="44315200"/>
  </r>
  <r>
    <x v="4415"/>
    <n v="28.030000999999999"/>
    <n v="28.18"/>
    <n v="27.48"/>
    <x v="2510"/>
    <n v="17.412828000000001"/>
    <n v="54763500"/>
  </r>
  <r>
    <x v="4416"/>
    <n v="27.66"/>
    <n v="28.110001"/>
    <n v="27.59"/>
    <x v="2419"/>
    <n v="17.596119000000002"/>
    <n v="37813300"/>
  </r>
  <r>
    <x v="4417"/>
    <n v="27.48"/>
    <n v="28.4"/>
    <n v="27.450001"/>
    <x v="2507"/>
    <n v="17.912141999999999"/>
    <n v="55777200"/>
  </r>
  <r>
    <x v="4418"/>
    <n v="28.370000999999998"/>
    <n v="28.610001"/>
    <n v="28.33"/>
    <x v="2668"/>
    <n v="17.924786000000001"/>
    <n v="41432300"/>
  </r>
  <r>
    <x v="4419"/>
    <n v="28.41"/>
    <n v="28.950001"/>
    <n v="28.32"/>
    <x v="2669"/>
    <n v="18.266098"/>
    <n v="52060600"/>
  </r>
  <r>
    <x v="4420"/>
    <n v="28.76"/>
    <n v="28.950001"/>
    <n v="28.469999000000001"/>
    <x v="2670"/>
    <n v="18.013279000000001"/>
    <n v="47221600"/>
  </r>
  <r>
    <x v="4421"/>
    <n v="28.49"/>
    <n v="29.51"/>
    <n v="28.42"/>
    <x v="2125"/>
    <n v="18.645313000000002"/>
    <n v="67268100"/>
  </r>
  <r>
    <x v="4422"/>
    <n v="29.76"/>
    <n v="29.969999000000001"/>
    <n v="29.52"/>
    <x v="2671"/>
    <n v="18.936060000000001"/>
    <n v="92433800"/>
  </r>
  <r>
    <x v="4423"/>
    <n v="29.389999"/>
    <n v="30"/>
    <n v="28.809999000000001"/>
    <x v="2672"/>
    <n v="18.373539000000001"/>
    <n v="65678700"/>
  </r>
  <r>
    <x v="4424"/>
    <n v="29.120000999999998"/>
    <n v="29.709999"/>
    <n v="28.879999000000002"/>
    <x v="2673"/>
    <n v="18.708523"/>
    <n v="57827800"/>
  </r>
  <r>
    <x v="4425"/>
    <n v="29.610001"/>
    <n v="29.700001"/>
    <n v="28.42"/>
    <x v="2674"/>
    <n v="17.987988000000001"/>
    <n v="66336500"/>
  </r>
  <r>
    <x v="4426"/>
    <n v="28.469999000000001"/>
    <n v="28.959999"/>
    <n v="28.219999000000001"/>
    <x v="2675"/>
    <n v="17.848948"/>
    <n v="56224500"/>
  </r>
  <r>
    <x v="4427"/>
    <n v="28.27"/>
    <n v="28.780000999999999"/>
    <n v="28.139999"/>
    <x v="2259"/>
    <n v="17.817339"/>
    <n v="49864700"/>
  </r>
  <r>
    <x v="4428"/>
    <n v="28.41"/>
    <n v="28.91"/>
    <n v="28.1"/>
    <x v="2676"/>
    <n v="18.221848999999999"/>
    <n v="47380300"/>
  </r>
  <r>
    <x v="4429"/>
    <n v="28.59"/>
    <n v="28.610001"/>
    <n v="27.75"/>
    <x v="2677"/>
    <n v="17.570841000000001"/>
    <n v="63333700"/>
  </r>
  <r>
    <x v="4430"/>
    <n v="28.030000999999999"/>
    <n v="28.629999000000002"/>
    <n v="27.809999000000001"/>
    <x v="2678"/>
    <n v="18.025915000000001"/>
    <n v="58375900"/>
  </r>
  <r>
    <x v="4431"/>
    <n v="28.450001"/>
    <n v="28.75"/>
    <n v="28.190000999999999"/>
    <x v="2670"/>
    <n v="18.013279000000001"/>
    <n v="38143600"/>
  </r>
  <r>
    <x v="4432"/>
    <n v="29.16"/>
    <n v="29.459999"/>
    <n v="28.93"/>
    <x v="2679"/>
    <n v="18.379861999999999"/>
    <n v="57303000"/>
  </r>
  <r>
    <x v="4433"/>
    <n v="29.15"/>
    <n v="29.299999"/>
    <n v="28.91"/>
    <x v="2680"/>
    <n v="18.449379"/>
    <n v="34047600"/>
  </r>
  <r>
    <x v="4434"/>
    <n v="29.01"/>
    <n v="29.370000999999998"/>
    <n v="28.92"/>
    <x v="2681"/>
    <n v="18.417784000000001"/>
    <n v="52356800"/>
  </r>
  <r>
    <x v="4435"/>
    <n v="29.360001"/>
    <n v="29.360001"/>
    <n v="28.68"/>
    <x v="2682"/>
    <n v="18.215527999999999"/>
    <n v="46989100"/>
  </r>
  <r>
    <x v="4436"/>
    <n v="29.219999000000001"/>
    <n v="29.35"/>
    <n v="28.799999"/>
    <x v="2683"/>
    <n v="18.291370000000001"/>
    <n v="62653300"/>
  </r>
  <r>
    <x v="4437"/>
    <n v="28.91"/>
    <n v="29.200001"/>
    <n v="28.67"/>
    <x v="2684"/>
    <n v="18.272409"/>
    <n v="37604700"/>
  </r>
  <r>
    <x v="4438"/>
    <n v="28.98"/>
    <n v="29.1"/>
    <n v="28.5"/>
    <x v="2685"/>
    <n v="18.190246999999999"/>
    <n v="39320300"/>
  </r>
  <r>
    <x v="4439"/>
    <n v="28.66"/>
    <n v="28.77"/>
    <n v="28.48"/>
    <x v="2686"/>
    <n v="18.127044999999999"/>
    <n v="34851300"/>
  </r>
  <r>
    <x v="4440"/>
    <n v="29.200001"/>
    <n v="29.26"/>
    <n v="28.700001"/>
    <x v="2672"/>
    <n v="18.476611999999999"/>
    <n v="57242100"/>
  </r>
  <r>
    <x v="4441"/>
    <n v="28.91"/>
    <n v="29.309999000000001"/>
    <n v="28.799999"/>
    <x v="2687"/>
    <n v="18.578313999999999"/>
    <n v="42232500"/>
  </r>
  <r>
    <x v="4442"/>
    <n v="29.280000999999999"/>
    <n v="29.290001"/>
    <n v="28.799999"/>
    <x v="2688"/>
    <n v="18.387629"/>
    <n v="49960000"/>
  </r>
  <r>
    <x v="4443"/>
    <n v="28.950001"/>
    <n v="29.370000999999998"/>
    <n v="28.799999"/>
    <x v="2689"/>
    <n v="18.654577"/>
    <n v="38794500"/>
  </r>
  <r>
    <x v="4444"/>
    <n v="29.35"/>
    <n v="29.43"/>
    <n v="29.17"/>
    <x v="2689"/>
    <n v="18.654577"/>
    <n v="44166800"/>
  </r>
  <r>
    <x v="4445"/>
    <n v="29.030000999999999"/>
    <n v="29.209999"/>
    <n v="28.799999"/>
    <x v="2690"/>
    <n v="18.362210999999999"/>
    <n v="48798500"/>
  </r>
  <r>
    <x v="4446"/>
    <n v="28.719999000000001"/>
    <n v="29.08"/>
    <n v="28.1"/>
    <x v="2684"/>
    <n v="18.374918000000001"/>
    <n v="67357900"/>
  </r>
  <r>
    <x v="4447"/>
    <n v="27.27"/>
    <n v="27.4"/>
    <n v="26.42"/>
    <x v="2649"/>
    <n v="16.913065"/>
    <n v="210558300"/>
  </r>
  <r>
    <x v="4448"/>
    <n v="26.91"/>
    <n v="27.1"/>
    <n v="26.82"/>
    <x v="2536"/>
    <n v="17.103745"/>
    <n v="65619100"/>
  </r>
  <r>
    <x v="4449"/>
    <n v="27.09"/>
    <n v="27.219999000000001"/>
    <n v="26.879999000000002"/>
    <x v="2691"/>
    <n v="17.288063000000001"/>
    <n v="71752600"/>
  </r>
  <r>
    <x v="4450"/>
    <n v="27.16"/>
    <n v="27.25"/>
    <n v="26.66"/>
    <x v="2692"/>
    <n v="16.995695000000001"/>
    <n v="73551500"/>
  </r>
  <r>
    <x v="4451"/>
    <n v="27.01"/>
    <n v="27.040001"/>
    <n v="25.91"/>
    <x v="2387"/>
    <n v="16.601627000000001"/>
    <n v="98729400"/>
  </r>
  <r>
    <x v="4452"/>
    <n v="26.370000999999998"/>
    <n v="26.440000999999999"/>
    <n v="26.110001"/>
    <x v="2423"/>
    <n v="16.614338"/>
    <n v="69623700"/>
  </r>
  <r>
    <x v="4453"/>
    <n v="26.35"/>
    <n v="26.75"/>
    <n v="26.290001"/>
    <x v="2693"/>
    <n v="16.957557999999999"/>
    <n v="57772300"/>
  </r>
  <r>
    <x v="4454"/>
    <n v="26.59"/>
    <n v="26.620000999999998"/>
    <n v="26.01"/>
    <x v="2631"/>
    <n v="16.569842999999999"/>
    <n v="84026100"/>
  </r>
  <r>
    <x v="4455"/>
    <n v="26.15"/>
    <n v="26.32"/>
    <n v="26"/>
    <x v="2608"/>
    <n v="16.588906999999999"/>
    <n v="61514400"/>
  </r>
  <r>
    <x v="4456"/>
    <n v="26.26"/>
    <n v="26.299999"/>
    <n v="26"/>
    <x v="2651"/>
    <n v="16.671531999999999"/>
    <n v="68189800"/>
  </r>
  <r>
    <x v="4457"/>
    <n v="26.379999000000002"/>
    <n v="26.49"/>
    <n v="26.030000999999999"/>
    <x v="2608"/>
    <n v="16.588906999999999"/>
    <n v="57822100"/>
  </r>
  <r>
    <x v="4458"/>
    <n v="26.120000999999998"/>
    <n v="26.23"/>
    <n v="26"/>
    <x v="2438"/>
    <n v="16.525352000000002"/>
    <n v="54579100"/>
  </r>
  <r>
    <x v="4459"/>
    <n v="26.01"/>
    <n v="26.08"/>
    <n v="25.67"/>
    <x v="2606"/>
    <n v="16.398239"/>
    <n v="64990700"/>
  </r>
  <r>
    <x v="4460"/>
    <n v="25.85"/>
    <n v="26.139999"/>
    <n v="25.6"/>
    <x v="2694"/>
    <n v="16.512644000000002"/>
    <n v="75877300"/>
  </r>
  <r>
    <x v="4461"/>
    <n v="25.860001"/>
    <n v="25.93"/>
    <n v="25.450001"/>
    <x v="2695"/>
    <n v="16.328320000000001"/>
    <n v="78949500"/>
  </r>
  <r>
    <x v="4462"/>
    <n v="25.700001"/>
    <n v="26.02"/>
    <n v="25.440000999999999"/>
    <x v="2553"/>
    <n v="16.207560000000001"/>
    <n v="83146400"/>
  </r>
  <r>
    <x v="4463"/>
    <n v="25.389999"/>
    <n v="25.440000999999999"/>
    <n v="24.84"/>
    <x v="2696"/>
    <n v="15.985105000000001"/>
    <n v="103900200"/>
  </r>
  <r>
    <x v="4464"/>
    <n v="25.33"/>
    <n v="25.84"/>
    <n v="25.120000999999998"/>
    <x v="2696"/>
    <n v="15.985105000000001"/>
    <n v="106868300"/>
  </r>
  <r>
    <x v="4465"/>
    <n v="25.290001"/>
    <n v="25.540001"/>
    <n v="25.17"/>
    <x v="2697"/>
    <n v="16.112217000000001"/>
    <n v="78853300"/>
  </r>
  <r>
    <x v="4466"/>
    <n v="25.17"/>
    <n v="25.629999000000002"/>
    <n v="25.08"/>
    <x v="2698"/>
    <n v="15.953321000000001"/>
    <n v="106845700"/>
  </r>
  <r>
    <x v="4467"/>
    <n v="25.33"/>
    <n v="25.379999000000002"/>
    <n v="25.08"/>
    <x v="2699"/>
    <n v="15.959679"/>
    <n v="70712900"/>
  </r>
  <r>
    <x v="4468"/>
    <n v="25.33"/>
    <n v="25.809999000000001"/>
    <n v="25.280000999999999"/>
    <x v="2551"/>
    <n v="16.353748"/>
    <n v="99463800"/>
  </r>
  <r>
    <x v="4469"/>
    <n v="25.870000999999998"/>
    <n v="25.950001"/>
    <n v="25.379999000000002"/>
    <x v="2700"/>
    <n v="16.143995"/>
    <n v="85663800"/>
  </r>
  <r>
    <x v="4470"/>
    <n v="25.610001"/>
    <n v="25.629999000000002"/>
    <n v="25.32"/>
    <x v="2701"/>
    <n v="16.175785000000001"/>
    <n v="69758400"/>
  </r>
  <r>
    <x v="4471"/>
    <n v="25.5"/>
    <n v="25.75"/>
    <n v="25.4"/>
    <x v="2655"/>
    <n v="16.341035999999999"/>
    <n v="33402600"/>
  </r>
  <r>
    <x v="4472"/>
    <n v="25.9"/>
    <n v="26.209999"/>
    <n v="25.5"/>
    <x v="2702"/>
    <n v="16.423658"/>
    <n v="101914600"/>
  </r>
  <r>
    <x v="4473"/>
    <n v="25.950001"/>
    <n v="26.09"/>
    <n v="25.610001"/>
    <x v="2654"/>
    <n v="16.309253999999999"/>
    <n v="85121700"/>
  </r>
  <r>
    <x v="4474"/>
    <n v="25.82"/>
    <n v="26.07"/>
    <n v="25.620000999999998"/>
    <x v="2703"/>
    <n v="16.315608999999998"/>
    <n v="93121600"/>
  </r>
  <r>
    <x v="4475"/>
    <n v="25.719999000000001"/>
    <n v="26.23"/>
    <n v="25.66"/>
    <x v="2612"/>
    <n v="16.652470000000001"/>
    <n v="87202400"/>
  </r>
  <r>
    <x v="4476"/>
    <n v="25.959999"/>
    <n v="26.48"/>
    <n v="25.92"/>
    <x v="2694"/>
    <n v="16.512644000000002"/>
    <n v="96610900"/>
  </r>
  <r>
    <x v="4477"/>
    <n v="26.120000999999998"/>
    <n v="26.34"/>
    <n v="25.809999000000001"/>
    <x v="2660"/>
    <n v="16.677896"/>
    <n v="90504000"/>
  </r>
  <r>
    <x v="4478"/>
    <n v="26.440000999999999"/>
    <n v="26.610001"/>
    <n v="26.25"/>
    <x v="2647"/>
    <n v="16.76688"/>
    <n v="103547100"/>
  </r>
  <r>
    <x v="4479"/>
    <n v="26.450001"/>
    <n v="26.629999000000002"/>
    <n v="26.379999000000002"/>
    <x v="2704"/>
    <n v="16.900352000000002"/>
    <n v="82853700"/>
  </r>
  <r>
    <x v="4480"/>
    <n v="26.59"/>
    <n v="26.77"/>
    <n v="26.280000999999999"/>
    <x v="2649"/>
    <n v="16.913065"/>
    <n v="79309000"/>
  </r>
  <r>
    <x v="4481"/>
    <n v="26.690000999999999"/>
    <n v="26.809999000000001"/>
    <n v="26.5"/>
    <x v="2705"/>
    <n v="16.938490000000002"/>
    <n v="69154100"/>
  </r>
  <r>
    <x v="4482"/>
    <n v="27.049999"/>
    <n v="27.1"/>
    <n v="26.68"/>
    <x v="2692"/>
    <n v="16.995695000000001"/>
    <n v="88860600"/>
  </r>
  <r>
    <x v="4483"/>
    <n v="26.83"/>
    <n v="27.16"/>
    <n v="26.77"/>
    <x v="2706"/>
    <n v="17.199085"/>
    <n v="73978000"/>
  </r>
  <r>
    <x v="4484"/>
    <n v="27.040001"/>
    <n v="27.08"/>
    <n v="26.85"/>
    <x v="2707"/>
    <n v="17.186363"/>
    <n v="53712300"/>
  </r>
  <r>
    <x v="4485"/>
    <n v="27.1"/>
    <n v="27.450001"/>
    <n v="27.049999"/>
    <x v="2642"/>
    <n v="17.415178000000001"/>
    <n v="61177800"/>
  </r>
  <r>
    <x v="4486"/>
    <n v="27.49"/>
    <n v="27.549999"/>
    <n v="27.190000999999999"/>
    <x v="2708"/>
    <n v="17.389752999999999"/>
    <n v="76856400"/>
  </r>
  <r>
    <x v="4487"/>
    <n v="27.16"/>
    <n v="27.43"/>
    <n v="26.969999000000001"/>
    <x v="2421"/>
    <n v="17.275345000000002"/>
    <n v="43894800"/>
  </r>
  <r>
    <x v="4488"/>
    <n v="27.17"/>
    <n v="27.34"/>
    <n v="27.01"/>
    <x v="2709"/>
    <n v="17.25629"/>
    <n v="39609000"/>
  </r>
  <r>
    <x v="4489"/>
    <n v="27.139999"/>
    <n v="27.16"/>
    <n v="27"/>
    <x v="2707"/>
    <n v="17.186363"/>
    <n v="19924200"/>
  </r>
  <r>
    <x v="4490"/>
    <n v="27.049999"/>
    <n v="27.25"/>
    <n v="27"/>
    <x v="2710"/>
    <n v="17.294415000000001"/>
    <n v="12076900"/>
  </r>
  <r>
    <x v="4491"/>
    <n v="27.209999"/>
    <n v="27.530000999999999"/>
    <n v="27.16"/>
    <x v="2427"/>
    <n v="17.453316000000001"/>
    <n v="40426700"/>
  </r>
  <r>
    <x v="4492"/>
    <n v="27.41"/>
    <n v="27.549999"/>
    <n v="27.4"/>
    <x v="2644"/>
    <n v="17.491453"/>
    <n v="34406600"/>
  </r>
  <r>
    <x v="4493"/>
    <n v="27.42"/>
    <n v="27.549999"/>
    <n v="27.23"/>
    <x v="2711"/>
    <n v="17.396111999999999"/>
    <n v="42198900"/>
  </r>
  <r>
    <x v="4494"/>
    <n v="27.58"/>
    <n v="27.77"/>
    <n v="27.33"/>
    <x v="2712"/>
    <n v="17.446960000000001"/>
    <n v="44487700"/>
  </r>
  <r>
    <x v="4495"/>
    <n v="27.73"/>
    <n v="28.18"/>
    <n v="27.719999000000001"/>
    <x v="2713"/>
    <n v="17.885521000000001"/>
    <n v="67333700"/>
  </r>
  <r>
    <x v="4496"/>
    <n v="28.190000999999999"/>
    <n v="28.280000999999999"/>
    <n v="28.07"/>
    <x v="2675"/>
    <n v="17.949078"/>
    <n v="46950800"/>
  </r>
  <r>
    <x v="4497"/>
    <n v="28.17"/>
    <n v="28.309999000000001"/>
    <n v="28.01"/>
    <x v="2714"/>
    <n v="17.930015999999998"/>
    <n v="54298200"/>
  </r>
  <r>
    <x v="4498"/>
    <n v="28.389999"/>
    <n v="28.48"/>
    <n v="28"/>
    <x v="2258"/>
    <n v="17.898223999999999"/>
    <n v="58810800"/>
  </r>
  <r>
    <x v="4499"/>
    <n v="28.030000999999999"/>
    <n v="28.059999000000001"/>
    <n v="27.59"/>
    <x v="2715"/>
    <n v="17.580432999999999"/>
    <n v="67079900"/>
  </r>
  <r>
    <x v="4500"/>
    <n v="27.67"/>
    <n v="27.73"/>
    <n v="27.35"/>
    <x v="2716"/>
    <n v="17.523230000000002"/>
    <n v="55845200"/>
  </r>
  <r>
    <x v="4501"/>
    <n v="27.549999"/>
    <n v="27.639999"/>
    <n v="27.26"/>
    <x v="2517"/>
    <n v="17.434248"/>
    <n v="51555900"/>
  </r>
  <r>
    <x v="4502"/>
    <n v="27.52"/>
    <n v="27.73"/>
    <n v="27.469999000000001"/>
    <x v="2238"/>
    <n v="17.605858000000001"/>
    <n v="43907000"/>
  </r>
  <r>
    <x v="4503"/>
    <n v="27.549999"/>
    <n v="27.719999000000001"/>
    <n v="27.42"/>
    <x v="2717"/>
    <n v="17.504159999999999"/>
    <n v="58504100"/>
  </r>
  <r>
    <x v="4504"/>
    <n v="27.709999"/>
    <n v="27.879999000000002"/>
    <n v="27.530000999999999"/>
    <x v="2718"/>
    <n v="17.675771999999998"/>
    <n v="63983400"/>
  </r>
  <r>
    <x v="4505"/>
    <n v="27.98"/>
    <n v="28.200001"/>
    <n v="27.93"/>
    <x v="2719"/>
    <n v="17.860085999999999"/>
    <n v="63068500"/>
  </r>
  <r>
    <x v="4506"/>
    <n v="28.129999000000002"/>
    <n v="28.299999"/>
    <n v="27.85"/>
    <x v="2664"/>
    <n v="17.987206"/>
    <n v="53570600"/>
  </r>
  <r>
    <x v="4507"/>
    <n v="28.360001"/>
    <n v="28.440000999999999"/>
    <n v="27.940000999999999"/>
    <x v="2237"/>
    <n v="17.802893000000001"/>
    <n v="78425200"/>
  </r>
  <r>
    <x v="4508"/>
    <n v="28.280000999999999"/>
    <n v="28.76"/>
    <n v="28.219999000000001"/>
    <x v="2720"/>
    <n v="18.101617999999998"/>
    <n v="127259100"/>
  </r>
  <r>
    <x v="4509"/>
    <n v="28.49"/>
    <n v="28.83"/>
    <n v="28.32"/>
    <x v="2721"/>
    <n v="18.305009999999999"/>
    <n v="58299600"/>
  </r>
  <r>
    <x v="4510"/>
    <n v="28.639999"/>
    <n v="28.719999000000001"/>
    <n v="28.219999000000001"/>
    <x v="1636"/>
    <n v="17.955428999999999"/>
    <n v="63196200"/>
  </r>
  <r>
    <x v="4511"/>
    <n v="28.299999"/>
    <n v="28.440000999999999"/>
    <n v="27.469999000000001"/>
    <x v="2722"/>
    <n v="17.612217000000001"/>
    <n v="71336000"/>
  </r>
  <r>
    <x v="4512"/>
    <n v="27.809999000000001"/>
    <n v="27.950001"/>
    <n v="27.57"/>
    <x v="2723"/>
    <n v="17.739332000000001"/>
    <n v="63748400"/>
  </r>
  <r>
    <x v="4513"/>
    <n v="27.84"/>
    <n v="27.9"/>
    <n v="27.549999"/>
    <x v="2724"/>
    <n v="17.574081"/>
    <n v="40528700"/>
  </r>
  <r>
    <x v="4514"/>
    <n v="27.610001"/>
    <n v="27.799999"/>
    <n v="27.24"/>
    <x v="2642"/>
    <n v="17.415178000000001"/>
    <n v="62891800"/>
  </r>
  <r>
    <x v="4515"/>
    <n v="27.4"/>
    <n v="27.549999"/>
    <n v="27.18"/>
    <x v="2725"/>
    <n v="17.345264"/>
    <n v="47993800"/>
  </r>
  <r>
    <x v="4516"/>
    <n v="27.219999000000001"/>
    <n v="27.43"/>
    <n v="27.01"/>
    <x v="2726"/>
    <n v="17.167303"/>
    <n v="60648000"/>
  </r>
  <r>
    <x v="4517"/>
    <n v="27.059999000000001"/>
    <n v="27.17"/>
    <n v="26.83"/>
    <x v="2727"/>
    <n v="17.135521000000001"/>
    <n v="55527500"/>
  </r>
  <r>
    <x v="4518"/>
    <n v="27.030000999999999"/>
    <n v="27.190000999999999"/>
    <n v="26.93"/>
    <x v="2424"/>
    <n v="17.211784000000002"/>
    <n v="47209600"/>
  </r>
  <r>
    <x v="4519"/>
    <n v="27.190000999999999"/>
    <n v="27.23"/>
    <n v="26.85"/>
    <x v="2728"/>
    <n v="17.097377999999999"/>
    <n v="48108500"/>
  </r>
  <r>
    <x v="4520"/>
    <n v="26.870000999999998"/>
    <n v="27.15"/>
    <n v="26.82"/>
    <x v="2729"/>
    <n v="17.173651"/>
    <n v="37790600"/>
  </r>
  <r>
    <x v="4521"/>
    <n v="26.969999000000001"/>
    <n v="27.23"/>
    <n v="26.85"/>
    <x v="2709"/>
    <n v="17.25629"/>
    <n v="51515300"/>
  </r>
  <r>
    <x v="4522"/>
    <n v="27.09"/>
    <n v="27.15"/>
    <n v="26.93"/>
    <x v="2730"/>
    <n v="17.129169000000001"/>
    <n v="44537000"/>
  </r>
  <r>
    <x v="4523"/>
    <n v="26.98"/>
    <n v="27.059999000000001"/>
    <n v="26.5"/>
    <x v="2704"/>
    <n v="16.900352000000002"/>
    <n v="67541100"/>
  </r>
  <r>
    <x v="4524"/>
    <n v="26.719999000000001"/>
    <n v="27.1"/>
    <n v="26.59"/>
    <x v="2731"/>
    <n v="17.154585000000001"/>
    <n v="43477000"/>
  </r>
  <r>
    <x v="4525"/>
    <n v="26.9"/>
    <n v="27.110001"/>
    <n v="26.74"/>
    <x v="2732"/>
    <n v="17.014761"/>
    <n v="50334700"/>
  </r>
  <r>
    <x v="4526"/>
    <n v="26.92"/>
    <n v="26.98"/>
    <n v="26.43"/>
    <x v="2433"/>
    <n v="16.817730000000001"/>
    <n v="61840600"/>
  </r>
  <r>
    <x v="4527"/>
    <n v="26.66"/>
    <n v="26.799999"/>
    <n v="26.5"/>
    <x v="2588"/>
    <n v="16.887636000000001"/>
    <n v="57821900"/>
  </r>
  <r>
    <x v="4528"/>
    <n v="26.73"/>
    <n v="26.76"/>
    <n v="26.48"/>
    <x v="2649"/>
    <n v="16.913065"/>
    <n v="50256800"/>
  </r>
  <r>
    <x v="4529"/>
    <n v="26.610001"/>
    <n v="26.950001"/>
    <n v="26.549999"/>
    <x v="2638"/>
    <n v="17.084672999999999"/>
    <n v="55426500"/>
  </r>
  <r>
    <x v="4530"/>
    <n v="26.9"/>
    <n v="26.99"/>
    <n v="26.610001"/>
    <x v="2733"/>
    <n v="16.970264"/>
    <n v="64275700"/>
  </r>
  <r>
    <x v="4531"/>
    <n v="26.59"/>
    <n v="26.65"/>
    <n v="26.41"/>
    <x v="1666"/>
    <n v="16.843149"/>
    <n v="66602700"/>
  </r>
  <r>
    <x v="4532"/>
    <n v="26.469999000000001"/>
    <n v="26.620000999999998"/>
    <n v="26.35"/>
    <x v="2734"/>
    <n v="16.862224999999999"/>
    <n v="58266500"/>
  </r>
  <r>
    <x v="4533"/>
    <n v="26.629999000000002"/>
    <n v="26.719999000000001"/>
    <n v="26.5"/>
    <x v="2733"/>
    <n v="16.970264"/>
    <n v="51912300"/>
  </r>
  <r>
    <x v="4534"/>
    <n v="26.610001"/>
    <n v="26.690000999999999"/>
    <n v="26.35"/>
    <x v="2735"/>
    <n v="16.773233000000001"/>
    <n v="66331000"/>
  </r>
  <r>
    <x v="4535"/>
    <n v="26.35"/>
    <n v="26.549999"/>
    <n v="26.219999000000001"/>
    <x v="2610"/>
    <n v="16.760525000000001"/>
    <n v="54998700"/>
  </r>
  <r>
    <x v="4536"/>
    <n v="26.33"/>
    <n v="26.42"/>
    <n v="26.209999"/>
    <x v="2610"/>
    <n v="16.760525000000001"/>
    <n v="44023200"/>
  </r>
  <r>
    <x v="4537"/>
    <n v="26.23"/>
    <n v="26.6"/>
    <n v="26.200001"/>
    <x v="2736"/>
    <n v="16.747812"/>
    <n v="59849800"/>
  </r>
  <r>
    <x v="4538"/>
    <n v="26.309999000000001"/>
    <n v="26.35"/>
    <n v="25.809999000000001"/>
    <x v="2411"/>
    <n v="16.417303"/>
    <n v="69367800"/>
  </r>
  <r>
    <x v="4539"/>
    <n v="25.799999"/>
    <n v="25.969999000000001"/>
    <n v="25.540001"/>
    <x v="2430"/>
    <n v="16.347384999999999"/>
    <n v="81111700"/>
  </r>
  <r>
    <x v="4540"/>
    <n v="25.65"/>
    <n v="25.799999"/>
    <n v="25.35"/>
    <x v="2737"/>
    <n v="16.124936999999999"/>
    <n v="75155800"/>
  </r>
  <r>
    <x v="4541"/>
    <n v="25.18"/>
    <n v="25.780000999999999"/>
    <n v="25.07"/>
    <x v="2593"/>
    <n v="15.946965000000001"/>
    <n v="90536300"/>
  </r>
  <r>
    <x v="4542"/>
    <n v="25.379999000000002"/>
    <n v="25.51"/>
    <n v="25.23"/>
    <x v="2243"/>
    <n v="16.131288999999999"/>
    <n v="64137100"/>
  </r>
  <r>
    <x v="4543"/>
    <n v="25.299999"/>
    <n v="25.43"/>
    <n v="25.059999000000001"/>
    <x v="2738"/>
    <n v="15.991458"/>
    <n v="68835300"/>
  </r>
  <r>
    <x v="4544"/>
    <n v="25.26"/>
    <n v="25.370000999999998"/>
    <n v="25.1"/>
    <x v="2739"/>
    <n v="16.004169000000001"/>
    <n v="65453800"/>
  </r>
  <r>
    <x v="4545"/>
    <n v="25.25"/>
    <n v="25.459999"/>
    <n v="25.110001"/>
    <x v="2740"/>
    <n v="15.972389"/>
    <n v="56241400"/>
  </r>
  <r>
    <x v="4546"/>
    <n v="24.959999"/>
    <n v="25.030000999999999"/>
    <n v="24.58"/>
    <x v="2741"/>
    <n v="15.819846"/>
    <n v="123231000"/>
  </r>
  <r>
    <x v="4547"/>
    <n v="24.77"/>
    <n v="24.940000999999999"/>
    <n v="24.559999000000001"/>
    <x v="2571"/>
    <n v="15.654593999999999"/>
    <n v="86281600"/>
  </r>
  <r>
    <x v="4548"/>
    <n v="24.48"/>
    <n v="24.84"/>
    <n v="24.01"/>
    <x v="2742"/>
    <n v="15.571968"/>
    <n v="127605200"/>
  </r>
  <r>
    <x v="4549"/>
    <n v="24.65"/>
    <n v="24.66"/>
    <n v="24.110001"/>
    <x v="2567"/>
    <n v="15.349508"/>
    <n v="91696300"/>
  </r>
  <r>
    <x v="4550"/>
    <n v="24.379999000000002"/>
    <n v="24.58"/>
    <n v="24.18"/>
    <x v="2556"/>
    <n v="15.514764"/>
    <n v="97584700"/>
  </r>
  <r>
    <x v="4551"/>
    <n v="24.6"/>
    <n v="25.24"/>
    <n v="24.58"/>
    <x v="2743"/>
    <n v="16.010525000000001"/>
    <n v="85677900"/>
  </r>
  <r>
    <x v="4552"/>
    <n v="25.110001"/>
    <n v="25.51"/>
    <n v="25"/>
    <x v="2744"/>
    <n v="15.908825"/>
    <n v="61584900"/>
  </r>
  <r>
    <x v="4553"/>
    <n v="25.25"/>
    <n v="25.4"/>
    <n v="25"/>
    <x v="2745"/>
    <n v="16.086798000000002"/>
    <n v="51881600"/>
  </r>
  <r>
    <x v="4554"/>
    <n v="25.209999"/>
    <n v="25.33"/>
    <n v="25.030000999999999"/>
    <x v="2746"/>
    <n v="16.016886"/>
    <n v="59010400"/>
  </r>
  <r>
    <x v="4555"/>
    <n v="25.200001"/>
    <n v="25.200001"/>
    <n v="24.870000999999998"/>
    <x v="2747"/>
    <n v="15.845276"/>
    <n v="70533200"/>
  </r>
  <r>
    <x v="4556"/>
    <n v="24.950001"/>
    <n v="25.110001"/>
    <n v="24.85"/>
    <x v="2748"/>
    <n v="15.94061"/>
    <n v="69051900"/>
  </r>
  <r>
    <x v="4557"/>
    <n v="25.48"/>
    <n v="25.9"/>
    <n v="25.440000999999999"/>
    <x v="2539"/>
    <n v="16.430019000000001"/>
    <n v="98043800"/>
  </r>
  <r>
    <x v="4558"/>
    <n v="25.809999000000001"/>
    <n v="25.98"/>
    <n v="25.73"/>
    <x v="2412"/>
    <n v="16.493572"/>
    <n v="53800300"/>
  </r>
  <r>
    <x v="4559"/>
    <n v="25.77"/>
    <n v="25.9"/>
    <n v="25.66"/>
    <x v="2606"/>
    <n v="16.398239"/>
    <n v="48992000"/>
  </r>
  <r>
    <x v="4560"/>
    <n v="25.74"/>
    <n v="25.780000999999999"/>
    <n v="25.35"/>
    <x v="2749"/>
    <n v="16.264766999999999"/>
    <n v="63268900"/>
  </r>
  <r>
    <x v="4561"/>
    <n v="25.82"/>
    <n v="25.85"/>
    <n v="25.360001"/>
    <x v="2750"/>
    <n v="16.194841"/>
    <n v="45294600"/>
  </r>
  <r>
    <x v="4562"/>
    <n v="25.48"/>
    <n v="25.74"/>
    <n v="25.43"/>
    <x v="2656"/>
    <n v="16.277473000000001"/>
    <n v="38786800"/>
  </r>
  <r>
    <x v="4563"/>
    <n v="25.68"/>
    <n v="25.77"/>
    <n v="25.41"/>
    <x v="2701"/>
    <n v="16.175785000000001"/>
    <n v="56971500"/>
  </r>
  <r>
    <x v="4564"/>
    <n v="25.389999"/>
    <n v="25.68"/>
    <n v="25.379999000000002"/>
    <x v="2751"/>
    <n v="16.213906999999999"/>
    <n v="61079600"/>
  </r>
  <r>
    <x v="4565"/>
    <n v="25.530000999999999"/>
    <n v="25.73"/>
    <n v="25.1"/>
    <x v="2604"/>
    <n v="16.029592999999998"/>
    <n v="73756900"/>
  </r>
  <r>
    <x v="4566"/>
    <n v="25.33"/>
    <n v="25.4"/>
    <n v="25.110001"/>
    <x v="2738"/>
    <n v="15.991458"/>
    <n v="51768600"/>
  </r>
  <r>
    <x v="4567"/>
    <n v="25.08"/>
    <n v="25.6"/>
    <n v="25.059999000000001"/>
    <x v="2752"/>
    <n v="16.226628999999999"/>
    <n v="44592100"/>
  </r>
  <r>
    <x v="4568"/>
    <n v="25.65"/>
    <n v="25.879999000000002"/>
    <n v="25.280000999999999"/>
    <x v="2753"/>
    <n v="16.099508"/>
    <n v="59902600"/>
  </r>
  <r>
    <x v="4569"/>
    <n v="25.360001"/>
    <n v="25.49"/>
    <n v="25.200001"/>
    <x v="2701"/>
    <n v="16.175785000000001"/>
    <n v="49252000"/>
  </r>
  <r>
    <x v="4570"/>
    <n v="25.51"/>
    <n v="25.99"/>
    <n v="25.469999000000001"/>
    <x v="2412"/>
    <n v="16.493572"/>
    <n v="99207700"/>
  </r>
  <r>
    <x v="4571"/>
    <n v="27.4"/>
    <n v="27.719999000000001"/>
    <n v="27.34"/>
    <x v="2717"/>
    <n v="17.504159999999999"/>
    <n v="258269000"/>
  </r>
  <r>
    <x v="4572"/>
    <n v="27.450001"/>
    <n v="27.549999"/>
    <n v="27.1"/>
    <x v="2534"/>
    <n v="17.313492"/>
    <n v="89391000"/>
  </r>
  <r>
    <x v="4573"/>
    <n v="27.16"/>
    <n v="27.370000999999998"/>
    <n v="27.129999000000002"/>
    <x v="2754"/>
    <n v="17.300778999999999"/>
    <n v="80716800"/>
  </r>
  <r>
    <x v="4574"/>
    <n v="27.01"/>
    <n v="27.049999"/>
    <n v="26.469999000000001"/>
    <x v="2755"/>
    <n v="16.881294"/>
    <n v="72842200"/>
  </r>
  <r>
    <x v="4575"/>
    <n v="26.51"/>
    <n v="26.940000999999999"/>
    <n v="26.309999000000001"/>
    <x v="2756"/>
    <n v="16.830435000000001"/>
    <n v="77787300"/>
  </r>
  <r>
    <x v="4576"/>
    <n v="26.59"/>
    <n v="26.75"/>
    <n v="25.959999"/>
    <x v="2388"/>
    <n v="16.607983000000001"/>
    <n v="66172200"/>
  </r>
  <r>
    <x v="4577"/>
    <n v="26.190000999999999"/>
    <n v="26.52"/>
    <n v="26.190000999999999"/>
    <x v="2736"/>
    <n v="16.747812"/>
    <n v="65916200"/>
  </r>
  <r>
    <x v="4578"/>
    <n v="26.35"/>
    <n v="26.540001"/>
    <n v="26.02"/>
    <x v="2429"/>
    <n v="16.735102000000001"/>
    <n v="55496400"/>
  </r>
  <r>
    <x v="4579"/>
    <n v="26.32"/>
    <n v="26.6"/>
    <n v="26.25"/>
    <x v="2757"/>
    <n v="16.716021999999999"/>
    <n v="51841700"/>
  </r>
  <r>
    <x v="4580"/>
    <n v="26.16"/>
    <n v="26.34"/>
    <n v="26.030000999999999"/>
    <x v="2387"/>
    <n v="16.601627000000001"/>
    <n v="62693900"/>
  </r>
  <r>
    <x v="4581"/>
    <n v="26.030000999999999"/>
    <n v="26.379999000000002"/>
    <n v="25.75"/>
    <x v="2632"/>
    <n v="16.385527"/>
    <n v="68290200"/>
  </r>
  <r>
    <x v="4582"/>
    <n v="25.629999000000002"/>
    <n v="26.049999"/>
    <n v="25.620000999999998"/>
    <x v="2435"/>
    <n v="16.480861999999998"/>
    <n v="64621400"/>
  </r>
  <r>
    <x v="4583"/>
    <n v="26.09"/>
    <n v="26.110001"/>
    <n v="25.790001"/>
    <x v="2758"/>
    <n v="16.487221000000002"/>
    <n v="57917200"/>
  </r>
  <r>
    <x v="4584"/>
    <n v="25.870000999999998"/>
    <n v="26"/>
    <n v="25.43"/>
    <x v="2758"/>
    <n v="16.487221000000002"/>
    <n v="64145600"/>
  </r>
  <r>
    <x v="4585"/>
    <n v="25.82"/>
    <n v="26.190000999999999"/>
    <n v="25.790001"/>
    <x v="2608"/>
    <n v="16.588906999999999"/>
    <n v="63861500"/>
  </r>
  <r>
    <x v="4586"/>
    <n v="26"/>
    <n v="26.17"/>
    <n v="25.639999"/>
    <x v="2609"/>
    <n v="16.436377"/>
    <n v="43775300"/>
  </r>
  <r>
    <x v="4587"/>
    <n v="25.469999000000001"/>
    <n v="25.790001"/>
    <n v="25.42"/>
    <x v="2658"/>
    <n v="16.232980999999999"/>
    <n v="55149600"/>
  </r>
  <r>
    <x v="4588"/>
    <n v="25.700001"/>
    <n v="25.969999000000001"/>
    <n v="25.639999"/>
    <x v="2411"/>
    <n v="16.417303"/>
    <n v="58158600"/>
  </r>
  <r>
    <x v="4589"/>
    <n v="26.030000999999999"/>
    <n v="26.27"/>
    <n v="25.620000999999998"/>
    <x v="2613"/>
    <n v="16.283830999999999"/>
    <n v="60052800"/>
  </r>
  <r>
    <x v="4590"/>
    <n v="25.75"/>
    <n v="25.870000999999998"/>
    <n v="25.59"/>
    <x v="2551"/>
    <n v="16.353748"/>
    <n v="52089900"/>
  </r>
  <r>
    <x v="4591"/>
    <n v="25.969999000000001"/>
    <n v="26.200001"/>
    <n v="25.780000999999999"/>
    <x v="2759"/>
    <n v="16.455438999999998"/>
    <n v="57809300"/>
  </r>
  <r>
    <x v="4592"/>
    <n v="26.049999"/>
    <n v="26.17"/>
    <n v="25.74"/>
    <x v="2603"/>
    <n v="16.372820000000001"/>
    <n v="56250500"/>
  </r>
  <r>
    <x v="4593"/>
    <n v="25.709999"/>
    <n v="26.190000999999999"/>
    <n v="25.6"/>
    <x v="2608"/>
    <n v="16.588906999999999"/>
    <n v="66615000"/>
  </r>
  <r>
    <x v="4594"/>
    <n v="25.99"/>
    <n v="26.15"/>
    <n v="25.85"/>
    <x v="2423"/>
    <n v="16.614338"/>
    <n v="50306900"/>
  </r>
  <r>
    <x v="4595"/>
    <n v="26.16"/>
    <n v="26.190000999999999"/>
    <n v="25.92"/>
    <x v="2760"/>
    <n v="16.64612"/>
    <n v="49071900"/>
  </r>
  <r>
    <x v="4596"/>
    <n v="26.139999"/>
    <n v="26.35"/>
    <n v="26.02"/>
    <x v="2651"/>
    <n v="16.671531999999999"/>
    <n v="37393000"/>
  </r>
  <r>
    <x v="4597"/>
    <n v="26.129999000000002"/>
    <n v="26.27"/>
    <n v="25.870000999999998"/>
    <x v="2461"/>
    <n v="16.595275999999998"/>
    <n v="48369500"/>
  </r>
  <r>
    <x v="4598"/>
    <n v="26.120000999999998"/>
    <n v="26.280000999999999"/>
    <n v="26.01"/>
    <x v="2388"/>
    <n v="16.607983000000001"/>
    <n v="54020000"/>
  </r>
  <r>
    <x v="4599"/>
    <n v="26.049999"/>
    <n v="26.129999000000002"/>
    <n v="25.860001"/>
    <x v="2759"/>
    <n v="16.455438999999998"/>
    <n v="45933100"/>
  </r>
  <r>
    <x v="4600"/>
    <n v="26.030000999999999"/>
    <n v="26.24"/>
    <n v="25.940000999999999"/>
    <x v="2412"/>
    <n v="16.493572"/>
    <n v="48815300"/>
  </r>
  <r>
    <x v="4601"/>
    <n v="26.02"/>
    <n v="26.43"/>
    <n v="25.969999000000001"/>
    <x v="2761"/>
    <n v="16.798660000000002"/>
    <n v="65218600"/>
  </r>
  <r>
    <x v="4602"/>
    <n v="26.280000999999999"/>
    <n v="26.65"/>
    <n v="26.24"/>
    <x v="2500"/>
    <n v="16.906707999999998"/>
    <n v="58447700"/>
  </r>
  <r>
    <x v="4603"/>
    <n v="26.4"/>
    <n v="26.65"/>
    <n v="26.4"/>
    <x v="2650"/>
    <n v="16.824081"/>
    <n v="50385500"/>
  </r>
  <r>
    <x v="4604"/>
    <n v="26.379999000000002"/>
    <n v="26.790001"/>
    <n v="26.379999000000002"/>
    <x v="2732"/>
    <n v="17.014761"/>
    <n v="48109200"/>
  </r>
  <r>
    <x v="4605"/>
    <n v="26.549999"/>
    <n v="26.9"/>
    <n v="26.530000999999999"/>
    <x v="2728"/>
    <n v="17.097377999999999"/>
    <n v="67377500"/>
  </r>
  <r>
    <x v="4606"/>
    <n v="26.99"/>
    <n v="27.6"/>
    <n v="26.969999000000001"/>
    <x v="2403"/>
    <n v="17.421538999999999"/>
    <n v="114183400"/>
  </r>
  <r>
    <x v="4607"/>
    <n v="27.34"/>
    <n v="27.5"/>
    <n v="27.15"/>
    <x v="2762"/>
    <n v="17.364332000000001"/>
    <n v="67431100"/>
  </r>
  <r>
    <x v="4608"/>
    <n v="27.309999000000001"/>
    <n v="27.92"/>
    <n v="27.290001"/>
    <x v="2416"/>
    <n v="17.650348999999999"/>
    <n v="105427500"/>
  </r>
  <r>
    <x v="4609"/>
    <n v="27.77"/>
    <n v="28.5"/>
    <n v="27.700001"/>
    <x v="2763"/>
    <n v="18.018989999999999"/>
    <n v="134218700"/>
  </r>
  <r>
    <x v="4610"/>
    <n v="28.219999000000001"/>
    <n v="28.66"/>
    <n v="28.120000999999998"/>
    <x v="2763"/>
    <n v="18.018989999999999"/>
    <n v="116881700"/>
  </r>
  <r>
    <x v="4611"/>
    <n v="28.15"/>
    <n v="28.35"/>
    <n v="27.809999000000001"/>
    <x v="2764"/>
    <n v="17.980854000000001"/>
    <n v="98932000"/>
  </r>
  <r>
    <x v="4612"/>
    <n v="28.200001"/>
    <n v="28.379999000000002"/>
    <n v="28"/>
    <x v="2664"/>
    <n v="17.987206"/>
    <n v="58558400"/>
  </r>
  <r>
    <x v="4613"/>
    <n v="28.48"/>
    <n v="28.65"/>
    <n v="28.360001"/>
    <x v="2765"/>
    <n v="18.044415000000001"/>
    <n v="65503800"/>
  </r>
  <r>
    <x v="4614"/>
    <n v="28.48"/>
    <n v="28.629999000000002"/>
    <n v="28.25"/>
    <x v="2766"/>
    <n v="18.158821"/>
    <n v="71136500"/>
  </r>
  <r>
    <x v="4615"/>
    <n v="28.6"/>
    <n v="28.75"/>
    <n v="28.17"/>
    <x v="2767"/>
    <n v="17.974499000000002"/>
    <n v="77024100"/>
  </r>
  <r>
    <x v="4616"/>
    <n v="28.18"/>
    <n v="28.58"/>
    <n v="28.18"/>
    <x v="2670"/>
    <n v="18.114325000000001"/>
    <n v="55371700"/>
  </r>
  <r>
    <x v="4617"/>
    <n v="28.57"/>
    <n v="28.799999"/>
    <n v="28.389999"/>
    <x v="2768"/>
    <n v="18.152460000000001"/>
    <n v="83544400"/>
  </r>
  <r>
    <x v="4618"/>
    <n v="28.700001"/>
    <n v="28.84"/>
    <n v="28.26"/>
    <x v="2769"/>
    <n v="18.196954999999999"/>
    <n v="78441400"/>
  </r>
  <r>
    <x v="4619"/>
    <n v="28.620000999999998"/>
    <n v="28.68"/>
    <n v="28.4"/>
    <x v="2766"/>
    <n v="18.158821"/>
    <n v="36690100"/>
  </r>
  <r>
    <x v="4620"/>
    <n v="28.32"/>
    <n v="28.33"/>
    <n v="27.940000999999999"/>
    <x v="2770"/>
    <n v="17.809249999999999"/>
    <n v="69158900"/>
  </r>
  <r>
    <x v="4621"/>
    <n v="27.67"/>
    <n v="28.32"/>
    <n v="27.549999"/>
    <x v="2719"/>
    <n v="17.860085999999999"/>
    <n v="66255700"/>
  </r>
  <r>
    <x v="4622"/>
    <n v="27.879999000000002"/>
    <n v="28.15"/>
    <n v="27.549999"/>
    <x v="2771"/>
    <n v="17.567723999999998"/>
    <n v="59125100"/>
  </r>
  <r>
    <x v="4623"/>
    <n v="27.780000999999999"/>
    <n v="28"/>
    <n v="27.639999"/>
    <x v="2772"/>
    <n v="17.707546000000001"/>
    <n v="50249300"/>
  </r>
  <r>
    <x v="4624"/>
    <n v="27.67"/>
    <n v="28"/>
    <n v="27.59"/>
    <x v="2773"/>
    <n v="17.726616"/>
    <n v="45757300"/>
  </r>
  <r>
    <x v="4625"/>
    <n v="27.91"/>
    <n v="27.950001"/>
    <n v="27.6"/>
    <x v="2774"/>
    <n v="17.542300999999998"/>
    <n v="43274100"/>
  </r>
  <r>
    <x v="4626"/>
    <n v="27.4"/>
    <n v="28.360001"/>
    <n v="27.34"/>
    <x v="2775"/>
    <n v="17.879155999999998"/>
    <n v="87656300"/>
  </r>
  <r>
    <x v="4627"/>
    <n v="28.049999"/>
    <n v="28.200001"/>
    <n v="27.799999"/>
    <x v="2399"/>
    <n v="17.713906999999999"/>
    <n v="46759700"/>
  </r>
  <r>
    <x v="4628"/>
    <n v="28.18"/>
    <n v="28.200001"/>
    <n v="27.25"/>
    <x v="2776"/>
    <n v="17.46603"/>
    <n v="66406300"/>
  </r>
  <r>
    <x v="4629"/>
    <n v="27.620000999999998"/>
    <n v="28.26"/>
    <n v="27.6"/>
    <x v="2777"/>
    <n v="17.764751"/>
    <n v="60354500"/>
  </r>
  <r>
    <x v="4630"/>
    <n v="28"/>
    <n v="28.48"/>
    <n v="27.85"/>
    <x v="2778"/>
    <n v="17.999929000000002"/>
    <n v="89010700"/>
  </r>
  <r>
    <x v="4631"/>
    <n v="29.889999"/>
    <n v="29.889999"/>
    <n v="28.809999000000001"/>
    <x v="2254"/>
    <n v="18.343143000000001"/>
    <n v="201518000"/>
  </r>
  <r>
    <x v="4632"/>
    <n v="29.07"/>
    <n v="29.299999"/>
    <n v="28.83"/>
    <x v="2779"/>
    <n v="18.432129"/>
    <n v="124640700"/>
  </r>
  <r>
    <x v="4633"/>
    <n v="28.379999000000002"/>
    <n v="28.4"/>
    <n v="28.02"/>
    <x v="2780"/>
    <n v="17.815605000000001"/>
    <n v="97372700"/>
  </r>
  <r>
    <x v="4634"/>
    <n v="28.360001"/>
    <n v="28.709999"/>
    <n v="28.200001"/>
    <x v="2781"/>
    <n v="18.216021999999999"/>
    <n v="72387600"/>
  </r>
  <r>
    <x v="4635"/>
    <n v="28.700001"/>
    <n v="28.76"/>
    <n v="28.129999000000002"/>
    <x v="2782"/>
    <n v="18.076193"/>
    <n v="72968400"/>
  </r>
  <r>
    <x v="4636"/>
    <n v="28.34"/>
    <n v="28.790001"/>
    <n v="28.280000999999999"/>
    <x v="2783"/>
    <n v="18.165188000000001"/>
    <n v="62718800"/>
  </r>
  <r>
    <x v="4637"/>
    <n v="28.780000999999999"/>
    <n v="28.799999"/>
    <n v="28.25"/>
    <x v="2720"/>
    <n v="18.101617999999998"/>
    <n v="60148400"/>
  </r>
  <r>
    <x v="4638"/>
    <n v="28.450001"/>
    <n v="28.809999000000001"/>
    <n v="28.33"/>
    <x v="2784"/>
    <n v="18.107966999999999"/>
    <n v="59552900"/>
  </r>
  <r>
    <x v="4639"/>
    <n v="28.27"/>
    <n v="28.549999"/>
    <n v="28.16"/>
    <x v="2678"/>
    <n v="18.127047000000001"/>
    <n v="52267000"/>
  </r>
  <r>
    <x v="4640"/>
    <n v="28.379999000000002"/>
    <n v="28.42"/>
    <n v="28"/>
    <x v="2785"/>
    <n v="17.841028000000001"/>
    <n v="53990900"/>
  </r>
  <r>
    <x v="4641"/>
    <n v="28.01"/>
    <n v="28.200001"/>
    <n v="27.99"/>
    <x v="2786"/>
    <n v="17.834671"/>
    <n v="46217900"/>
  </r>
  <r>
    <x v="4642"/>
    <n v="28.16"/>
    <n v="28.209999"/>
    <n v="27.52"/>
    <x v="2787"/>
    <n v="17.497807000000002"/>
    <n v="55591700"/>
  </r>
  <r>
    <x v="4643"/>
    <n v="27.379999000000002"/>
    <n v="27.860001"/>
    <n v="27.059999000000001"/>
    <x v="2788"/>
    <n v="17.249928000000001"/>
    <n v="75628000"/>
  </r>
  <r>
    <x v="4644"/>
    <n v="27.26"/>
    <n v="27.280000999999999"/>
    <n v="27.1"/>
    <x v="2421"/>
    <n v="17.275345000000002"/>
    <n v="51877500"/>
  </r>
  <r>
    <x v="4645"/>
    <n v="27.299999"/>
    <n v="27.75"/>
    <n v="27.25"/>
    <x v="2789"/>
    <n v="17.618563000000002"/>
    <n v="57632700"/>
  </r>
  <r>
    <x v="4646"/>
    <n v="27.389999"/>
    <n v="27.51"/>
    <n v="27.200001"/>
    <x v="2403"/>
    <n v="17.421538999999999"/>
    <n v="53097300"/>
  </r>
  <r>
    <x v="4647"/>
    <n v="27.23"/>
    <n v="27.309999000000001"/>
    <n v="26.860001"/>
    <x v="2638"/>
    <n v="17.084672999999999"/>
    <n v="50279700"/>
  </r>
  <r>
    <x v="4648"/>
    <n v="27.01"/>
    <n v="27.25"/>
    <n v="26.98"/>
    <x v="2729"/>
    <n v="17.173651"/>
    <n v="43333200"/>
  </r>
  <r>
    <x v="4649"/>
    <n v="27.030000999999999"/>
    <n v="27.200001"/>
    <n v="26.959999"/>
    <x v="2790"/>
    <n v="17.218149"/>
    <n v="54347200"/>
  </r>
  <r>
    <x v="4650"/>
    <n v="27.219999000000001"/>
    <n v="27.379999000000002"/>
    <n v="26.98"/>
    <x v="2422"/>
    <n v="17.192727999999999"/>
    <n v="56879700"/>
  </r>
  <r>
    <x v="4651"/>
    <n v="26.93"/>
    <n v="27.5"/>
    <n v="26.889999"/>
    <x v="2427"/>
    <n v="17.453316000000001"/>
    <n v="58844000"/>
  </r>
  <r>
    <x v="4652"/>
    <n v="27.35"/>
    <n v="27.450001"/>
    <n v="27.01"/>
    <x v="2544"/>
    <n v="17.237214999999999"/>
    <n v="46293000"/>
  </r>
  <r>
    <x v="4653"/>
    <n v="27.129999000000002"/>
    <n v="27.370000999999998"/>
    <n v="27.040001"/>
    <x v="2691"/>
    <n v="17.288063000000001"/>
    <n v="46494800"/>
  </r>
  <r>
    <x v="4654"/>
    <n v="27.27"/>
    <n v="27.33"/>
    <n v="27.120000999999998"/>
    <x v="2534"/>
    <n v="17.364563"/>
    <n v="39572200"/>
  </r>
  <r>
    <x v="4655"/>
    <n v="27.4"/>
    <n v="27.459999"/>
    <n v="27.09"/>
    <x v="2534"/>
    <n v="17.364563"/>
    <n v="40835300"/>
  </r>
  <r>
    <x v="4656"/>
    <n v="27.209999"/>
    <n v="27.67"/>
    <n v="27.18"/>
    <x v="2510"/>
    <n v="17.562168"/>
    <n v="53512700"/>
  </r>
  <r>
    <x v="4657"/>
    <n v="27.459999"/>
    <n v="27.6"/>
    <n v="27.389999"/>
    <x v="2397"/>
    <n v="17.492048"/>
    <n v="35465500"/>
  </r>
  <r>
    <x v="4658"/>
    <n v="27.5"/>
    <n v="27.65"/>
    <n v="27.450001"/>
    <x v="2427"/>
    <n v="17.504798999999998"/>
    <n v="33248700"/>
  </r>
  <r>
    <x v="4659"/>
    <n v="27.299999"/>
    <n v="27.389999"/>
    <n v="26.85"/>
    <x v="2791"/>
    <n v="17.402809000000001"/>
    <n v="36679600"/>
  </r>
  <r>
    <x v="4660"/>
    <n v="27.290001"/>
    <n v="27.32"/>
    <n v="27.049999"/>
    <x v="2791"/>
    <n v="17.402809000000001"/>
    <n v="52106700"/>
  </r>
  <r>
    <x v="4661"/>
    <n v="27.23"/>
    <n v="27.52"/>
    <n v="27.139999"/>
    <x v="2792"/>
    <n v="17.460170999999999"/>
    <n v="48507500"/>
  </r>
  <r>
    <x v="4662"/>
    <n v="27.4"/>
    <n v="27.68"/>
    <n v="27.35"/>
    <x v="2793"/>
    <n v="17.606798000000001"/>
    <n v="42161700"/>
  </r>
  <r>
    <x v="4663"/>
    <n v="27.459999"/>
    <n v="27.620000999999998"/>
    <n v="27.1"/>
    <x v="2417"/>
    <n v="17.281689"/>
    <n v="46174400"/>
  </r>
  <r>
    <x v="4664"/>
    <n v="27.290001"/>
    <n v="27.379999000000002"/>
    <n v="27.16"/>
    <x v="2708"/>
    <n v="17.441047999999999"/>
    <n v="44893400"/>
  </r>
  <r>
    <x v="4665"/>
    <n v="27.299999"/>
    <n v="27.469999000000001"/>
    <n v="27.139999"/>
    <x v="2663"/>
    <n v="17.377307999999999"/>
    <n v="53278100"/>
  </r>
  <r>
    <x v="4666"/>
    <n v="27.299999"/>
    <n v="27.469999000000001"/>
    <n v="27.18"/>
    <x v="2256"/>
    <n v="17.390059999999998"/>
    <n v="56904700"/>
  </r>
  <r>
    <x v="4667"/>
    <n v="27.34"/>
    <n v="27.51"/>
    <n v="27.18"/>
    <x v="2794"/>
    <n v="17.52392"/>
    <n v="52664500"/>
  </r>
  <r>
    <x v="4668"/>
    <n v="27.530000999999999"/>
    <n v="27.57"/>
    <n v="26.74"/>
    <x v="2795"/>
    <n v="17.370926000000001"/>
    <n v="48239200"/>
  </r>
  <r>
    <x v="4669"/>
    <n v="27.370000999999998"/>
    <n v="27.51"/>
    <n v="27.27"/>
    <x v="2397"/>
    <n v="17.492048"/>
    <n v="55920000"/>
  </r>
  <r>
    <x v="4670"/>
    <n v="27.360001"/>
    <n v="27.4"/>
    <n v="27.139999"/>
    <x v="2796"/>
    <n v="17.332685000000001"/>
    <n v="52605700"/>
  </r>
  <r>
    <x v="4671"/>
    <n v="27.219999000000001"/>
    <n v="27.35"/>
    <n v="27.17"/>
    <x v="2663"/>
    <n v="17.377307999999999"/>
    <n v="35951500"/>
  </r>
  <r>
    <x v="4672"/>
    <n v="27.389999"/>
    <n v="27.530000999999999"/>
    <n v="27.26"/>
    <x v="2797"/>
    <n v="17.536676"/>
    <n v="65283000"/>
  </r>
  <r>
    <x v="4673"/>
    <n v="27.440000999999999"/>
    <n v="27.65"/>
    <n v="27.33"/>
    <x v="2797"/>
    <n v="17.536676"/>
    <n v="51513600"/>
  </r>
  <r>
    <x v="4674"/>
    <n v="27.450001"/>
    <n v="27.530000999999999"/>
    <n v="27.25"/>
    <x v="2663"/>
    <n v="17.377307999999999"/>
    <n v="73874400"/>
  </r>
  <r>
    <x v="4675"/>
    <n v="27.280000999999999"/>
    <n v="27.74"/>
    <n v="27.07"/>
    <x v="2544"/>
    <n v="17.288059000000001"/>
    <n v="68409000"/>
  </r>
  <r>
    <x v="4676"/>
    <n v="27.190000999999999"/>
    <n v="27.389999"/>
    <n v="27.17"/>
    <x v="2428"/>
    <n v="17.434687"/>
    <n v="52155800"/>
  </r>
  <r>
    <x v="4677"/>
    <n v="27.389999"/>
    <n v="27.459999"/>
    <n v="27.190000999999999"/>
    <x v="2725"/>
    <n v="17.396429000000001"/>
    <n v="49859800"/>
  </r>
  <r>
    <x v="4678"/>
    <n v="27.17"/>
    <n v="27.32"/>
    <n v="27.129999000000002"/>
    <x v="2796"/>
    <n v="17.332685000000001"/>
    <n v="47813600"/>
  </r>
  <r>
    <x v="4679"/>
    <n v="27.209999"/>
    <n v="27.360001"/>
    <n v="27.040001"/>
    <x v="2643"/>
    <n v="17.383683999999999"/>
    <n v="62055100"/>
  </r>
  <r>
    <x v="4680"/>
    <n v="27.26"/>
    <n v="27.690000999999999"/>
    <n v="27.23"/>
    <x v="2798"/>
    <n v="17.581302999999998"/>
    <n v="61529300"/>
  </r>
  <r>
    <x v="4681"/>
    <n v="27.59"/>
    <n v="27.790001"/>
    <n v="27.52"/>
    <x v="2724"/>
    <n v="17.625924999999999"/>
    <n v="71218000"/>
  </r>
  <r>
    <x v="4682"/>
    <n v="27.82"/>
    <n v="28.32"/>
    <n v="27.780000999999999"/>
    <x v="1636"/>
    <n v="18.008396000000001"/>
    <n v="66302800"/>
  </r>
  <r>
    <x v="4683"/>
    <n v="28.440000999999999"/>
    <n v="28.459999"/>
    <n v="28.07"/>
    <x v="2799"/>
    <n v="17.925522000000001"/>
    <n v="62016200"/>
  </r>
  <r>
    <x v="4684"/>
    <n v="28.15"/>
    <n v="28.450001"/>
    <n v="28.1"/>
    <x v="2666"/>
    <n v="18.091270000000002"/>
    <n v="58017700"/>
  </r>
  <r>
    <x v="4685"/>
    <n v="28.389999"/>
    <n v="28.549999"/>
    <n v="28.23"/>
    <x v="2800"/>
    <n v="18.186892"/>
    <n v="56999600"/>
  </r>
  <r>
    <x v="4686"/>
    <n v="28.540001"/>
    <n v="28.59"/>
    <n v="28.16"/>
    <x v="2801"/>
    <n v="17.957401000000001"/>
    <n v="38401500"/>
  </r>
  <r>
    <x v="4687"/>
    <n v="28.1"/>
    <n v="28.33"/>
    <n v="27.969999000000001"/>
    <x v="2802"/>
    <n v="17.842651"/>
    <n v="49556600"/>
  </r>
  <r>
    <x v="4688"/>
    <n v="28.200001"/>
    <n v="28.219999000000001"/>
    <n v="27.93"/>
    <x v="2786"/>
    <n v="17.887277999999998"/>
    <n v="44691000"/>
  </r>
  <r>
    <x v="4689"/>
    <n v="27.83"/>
    <n v="28.16"/>
    <n v="27.809999000000001"/>
    <x v="2780"/>
    <n v="17.86816"/>
    <n v="56412900"/>
  </r>
  <r>
    <x v="4690"/>
    <n v="28.190000999999999"/>
    <n v="28.27"/>
    <n v="27.940000999999999"/>
    <x v="2780"/>
    <n v="17.86816"/>
    <n v="49500700"/>
  </r>
  <r>
    <x v="4691"/>
    <n v="28.040001"/>
    <n v="28.16"/>
    <n v="27.799999"/>
    <x v="2677"/>
    <n v="17.721541999999999"/>
    <n v="41548700"/>
  </r>
  <r>
    <x v="4692"/>
    <n v="27.969999000000001"/>
    <n v="28.24"/>
    <n v="27.82"/>
    <x v="2802"/>
    <n v="17.842651"/>
    <n v="49828500"/>
  </r>
  <r>
    <x v="4693"/>
    <n v="28.07"/>
    <n v="28.450001"/>
    <n v="27.98"/>
    <x v="2803"/>
    <n v="18.110396999999999"/>
    <n v="50350700"/>
  </r>
  <r>
    <x v="4694"/>
    <n v="28.530000999999999"/>
    <n v="28.59"/>
    <n v="28.17"/>
    <x v="2804"/>
    <n v="17.963775999999999"/>
    <n v="57026500"/>
  </r>
  <r>
    <x v="4695"/>
    <n v="28.219999000000001"/>
    <n v="28.75"/>
    <n v="28.120000999999998"/>
    <x v="2805"/>
    <n v="18.295255999999998"/>
    <n v="69078100"/>
  </r>
  <r>
    <x v="4696"/>
    <n v="28.809999000000001"/>
    <n v="28.889999"/>
    <n v="28.469999000000001"/>
    <x v="2768"/>
    <n v="18.206009000000002"/>
    <n v="94988500"/>
  </r>
  <r>
    <x v="4697"/>
    <n v="28.299999"/>
    <n v="28.34"/>
    <n v="27.58"/>
    <x v="2806"/>
    <n v="17.683287"/>
    <n v="101912800"/>
  </r>
  <r>
    <x v="4698"/>
    <n v="27.67"/>
    <n v="27.77"/>
    <n v="27.549999"/>
    <x v="2807"/>
    <n v="17.613171000000001"/>
    <n v="61529500"/>
  </r>
  <r>
    <x v="4699"/>
    <n v="27.709999"/>
    <n v="27.9"/>
    <n v="27.629999000000002"/>
    <x v="2543"/>
    <n v="17.78529"/>
    <n v="76966600"/>
  </r>
  <r>
    <x v="4700"/>
    <n v="27.860001"/>
    <n v="28.35"/>
    <n v="27.58"/>
    <x v="2374"/>
    <n v="17.944654"/>
    <n v="72392600"/>
  </r>
  <r>
    <x v="4701"/>
    <n v="28.110001"/>
    <n v="28.540001"/>
    <n v="27.9"/>
    <x v="2237"/>
    <n v="17.855409999999999"/>
    <n v="63059600"/>
  </r>
  <r>
    <x v="4702"/>
    <n v="28.120000999999998"/>
    <n v="28.15"/>
    <n v="27.799999"/>
    <x v="2808"/>
    <n v="17.829913999999999"/>
    <n v="80010100"/>
  </r>
  <r>
    <x v="4703"/>
    <n v="28.16"/>
    <n v="28.280000999999999"/>
    <n v="27.959999"/>
    <x v="2809"/>
    <n v="17.900023999999998"/>
    <n v="72930900"/>
  </r>
  <r>
    <x v="4704"/>
    <n v="28.26"/>
    <n v="28.469999000000001"/>
    <n v="28.030000999999999"/>
    <x v="2675"/>
    <n v="18.002023999999999"/>
    <n v="89417100"/>
  </r>
  <r>
    <x v="4705"/>
    <n v="28.65"/>
    <n v="28.65"/>
    <n v="28.309999000000001"/>
    <x v="2233"/>
    <n v="18.148643"/>
    <n v="79666700"/>
  </r>
  <r>
    <x v="4706"/>
    <n v="28.379999000000002"/>
    <n v="29"/>
    <n v="28.379999000000002"/>
    <x v="2779"/>
    <n v="18.486504"/>
    <n v="87867700"/>
  </r>
  <r>
    <x v="4707"/>
    <n v="29.209999"/>
    <n v="29.360001"/>
    <n v="29.030000999999999"/>
    <x v="2810"/>
    <n v="18.684111000000001"/>
    <n v="95337700"/>
  </r>
  <r>
    <x v="4708"/>
    <n v="29.18"/>
    <n v="29.48"/>
    <n v="29.129999000000002"/>
    <x v="2811"/>
    <n v="18.664988000000001"/>
    <n v="112802100"/>
  </r>
  <r>
    <x v="4709"/>
    <n v="29.43"/>
    <n v="29.889999"/>
    <n v="29.35"/>
    <x v="2812"/>
    <n v="18.977339000000001"/>
    <n v="100401000"/>
  </r>
  <r>
    <x v="4710"/>
    <n v="29.92"/>
    <n v="30"/>
    <n v="29.690000999999999"/>
    <x v="2813"/>
    <n v="18.951843"/>
    <n v="84097700"/>
  </r>
  <r>
    <x v="4711"/>
    <n v="29.889999"/>
    <n v="30.08"/>
    <n v="29.82"/>
    <x v="2814"/>
    <n v="19.111211999999998"/>
    <n v="87358900"/>
  </r>
  <r>
    <x v="4712"/>
    <n v="30.16"/>
    <n v="30.200001"/>
    <n v="29.799999"/>
    <x v="2815"/>
    <n v="19.104834"/>
    <n v="162269000"/>
  </r>
  <r>
    <x v="4713"/>
    <n v="27.34"/>
    <n v="27.5"/>
    <n v="27.200001"/>
    <x v="2792"/>
    <n v="19.460072"/>
    <n v="104468000"/>
  </r>
  <r>
    <x v="4714"/>
    <n v="27.33"/>
    <n v="27.34"/>
    <n v="27.049999"/>
    <x v="2544"/>
    <n v="19.268246000000001"/>
    <n v="64522600"/>
  </r>
  <r>
    <x v="4715"/>
    <n v="27.25"/>
    <n v="27.35"/>
    <n v="27.059999000000001"/>
    <x v="2816"/>
    <n v="19.303771999999999"/>
    <n v="58830700"/>
  </r>
  <r>
    <x v="4716"/>
    <n v="27.129999000000002"/>
    <n v="27.17"/>
    <n v="27"/>
    <x v="2817"/>
    <n v="19.232723"/>
    <n v="63249900"/>
  </r>
  <r>
    <x v="4717"/>
    <n v="27.030000999999999"/>
    <n v="27.07"/>
    <n v="26.84"/>
    <x v="2540"/>
    <n v="19.083527"/>
    <n v="85808600"/>
  </r>
  <r>
    <x v="4718"/>
    <n v="26.75"/>
    <n v="26.82"/>
    <n v="26.1"/>
    <x v="2705"/>
    <n v="18.934322000000002"/>
    <n v="92410800"/>
  </r>
  <r>
    <x v="4719"/>
    <n v="26.52"/>
    <n v="26.700001"/>
    <n v="26.4"/>
    <x v="2734"/>
    <n v="18.849077000000001"/>
    <n v="70459700"/>
  </r>
  <r>
    <x v="4720"/>
    <n v="26.620000999999998"/>
    <n v="26.73"/>
    <n v="26.4"/>
    <x v="2818"/>
    <n v="18.927216000000001"/>
    <n v="60069200"/>
  </r>
  <r>
    <x v="4721"/>
    <n v="26.559999000000001"/>
    <n v="26.82"/>
    <n v="26.549999"/>
    <x v="2500"/>
    <n v="18.898803999999998"/>
    <n v="24398700"/>
  </r>
  <r>
    <x v="4722"/>
    <n v="26.639999"/>
    <n v="26.950001"/>
    <n v="26.610001"/>
    <x v="2732"/>
    <n v="19.019584999999999"/>
    <n v="67079900"/>
  </r>
  <r>
    <x v="4723"/>
    <n v="26.75"/>
    <n v="27.01"/>
    <n v="26.700001"/>
    <x v="2819"/>
    <n v="19.047998"/>
    <n v="75960400"/>
  </r>
  <r>
    <x v="4724"/>
    <n v="26.950001"/>
    <n v="27.280000999999999"/>
    <n v="26.809999000000001"/>
    <x v="2795"/>
    <n v="19.360607000000002"/>
    <n v="99889000"/>
  </r>
  <r>
    <x v="4725"/>
    <n v="27.27"/>
    <n v="27.4"/>
    <n v="26.92"/>
    <x v="2790"/>
    <n v="19.246936999999999"/>
    <n v="96088300"/>
  </r>
  <r>
    <x v="4726"/>
    <n v="27.16"/>
    <n v="27.440000999999999"/>
    <n v="27.139999"/>
    <x v="2820"/>
    <n v="19.346405000000001"/>
    <n v="76498400"/>
  </r>
  <r>
    <x v="4727"/>
    <n v="27.1"/>
    <n v="27.440000999999999"/>
    <n v="27.07"/>
    <x v="2531"/>
    <n v="19.417446000000002"/>
    <n v="55297400"/>
  </r>
  <r>
    <x v="4728"/>
    <n v="27.26"/>
    <n v="27.379999000000002"/>
    <n v="27"/>
    <x v="2817"/>
    <n v="19.232723"/>
    <n v="111656000"/>
  </r>
  <r>
    <x v="4729"/>
    <n v="27.01"/>
    <n v="27.360001"/>
    <n v="26.91"/>
    <x v="2708"/>
    <n v="19.438759000000001"/>
    <n v="95655000"/>
  </r>
  <r>
    <x v="4730"/>
    <n v="27.129999000000002"/>
    <n v="27.360001"/>
    <n v="26.940000999999999"/>
    <x v="2820"/>
    <n v="19.346405000000001"/>
    <n v="83006000"/>
  </r>
  <r>
    <x v="4731"/>
    <n v="27.08"/>
    <n v="27.18"/>
    <n v="27.040001"/>
    <x v="2424"/>
    <n v="19.239826000000001"/>
    <n v="70949200"/>
  </r>
  <r>
    <x v="4732"/>
    <n v="27.1"/>
    <n v="27.280000999999999"/>
    <n v="26.91"/>
    <x v="2795"/>
    <n v="19.360607000000002"/>
    <n v="93812500"/>
  </r>
  <r>
    <x v="4733"/>
    <n v="27.049999"/>
    <n v="27.33"/>
    <n v="27.040001"/>
    <x v="2820"/>
    <n v="19.346405000000001"/>
    <n v="127843200"/>
  </r>
  <r>
    <x v="4734"/>
    <n v="27.219999000000001"/>
    <n v="27.4"/>
    <n v="27.07"/>
    <x v="2417"/>
    <n v="19.261147000000001"/>
    <n v="106303900"/>
  </r>
  <r>
    <x v="4735"/>
    <n v="27.15"/>
    <n v="27.280000999999999"/>
    <n v="27.01"/>
    <x v="2241"/>
    <n v="19.296671"/>
    <n v="88997500"/>
  </r>
  <r>
    <x v="4736"/>
    <n v="27"/>
    <n v="27.32"/>
    <n v="26.799999"/>
    <x v="2727"/>
    <n v="19.154577"/>
    <n v="126184400"/>
  </r>
  <r>
    <x v="4737"/>
    <n v="27.01"/>
    <n v="27.15"/>
    <n v="26.889999"/>
    <x v="2730"/>
    <n v="19.147469999999998"/>
    <n v="85552800"/>
  </r>
  <r>
    <x v="4738"/>
    <n v="27"/>
    <n v="27.17"/>
    <n v="26.940000999999999"/>
    <x v="2817"/>
    <n v="19.232723"/>
    <n v="94646100"/>
  </r>
  <r>
    <x v="4739"/>
    <n v="26.84"/>
    <n v="27.15"/>
    <n v="26.780000999999999"/>
    <x v="2821"/>
    <n v="19.161673"/>
    <n v="63651900"/>
  </r>
  <r>
    <x v="4740"/>
    <n v="26.870000999999998"/>
    <n v="27.15"/>
    <n v="26.83"/>
    <x v="2726"/>
    <n v="19.190096"/>
    <n v="65801900"/>
  </r>
  <r>
    <x v="4741"/>
    <n v="27.01"/>
    <n v="27.1"/>
    <n v="26.82"/>
    <x v="2822"/>
    <n v="19.076422000000001"/>
    <n v="55958500"/>
  </r>
  <r>
    <x v="4742"/>
    <n v="26.85"/>
    <n v="27.030000999999999"/>
    <n v="26.799999"/>
    <x v="2730"/>
    <n v="19.147469999999998"/>
    <n v="55075900"/>
  </r>
  <r>
    <x v="4743"/>
    <n v="26.85"/>
    <n v="27"/>
    <n v="26.82"/>
    <x v="2728"/>
    <n v="19.111937000000001"/>
    <n v="47594900"/>
  </r>
  <r>
    <x v="4744"/>
    <n v="26.889999"/>
    <n v="26.940000999999999"/>
    <n v="26.75"/>
    <x v="2823"/>
    <n v="19.012471999999999"/>
    <n v="48355400"/>
  </r>
  <r>
    <x v="4745"/>
    <n v="26.75"/>
    <n v="26.9"/>
    <n v="26.68"/>
    <x v="2824"/>
    <n v="18.984055999999999"/>
    <n v="54959500"/>
  </r>
  <r>
    <x v="4746"/>
    <n v="26.799999"/>
    <n v="26.950001"/>
    <n v="26.65"/>
    <x v="2692"/>
    <n v="18.998276000000001"/>
    <n v="65002900"/>
  </r>
  <r>
    <x v="4747"/>
    <n v="26.870000999999998"/>
    <n v="27.1"/>
    <n v="26.66"/>
    <x v="2825"/>
    <n v="19.069309000000001"/>
    <n v="109442100"/>
  </r>
  <r>
    <x v="4748"/>
    <n v="26.84"/>
    <n v="27.1"/>
    <n v="26.76"/>
    <x v="2826"/>
    <n v="19.026691"/>
    <n v="72463500"/>
  </r>
  <r>
    <x v="4749"/>
    <n v="26.85"/>
    <n v="27.059999000000001"/>
    <n v="26.639999"/>
    <x v="2104"/>
    <n v="19.005372999999999"/>
    <n v="76890500"/>
  </r>
  <r>
    <x v="4750"/>
    <n v="26.82"/>
    <n v="26.889999"/>
    <n v="26.620000999999998"/>
    <x v="2827"/>
    <n v="18.948533999999999"/>
    <n v="68723300"/>
  </r>
  <r>
    <x v="4751"/>
    <n v="26.6"/>
    <n v="26.860001"/>
    <n v="26.540001"/>
    <x v="2828"/>
    <n v="19.040899"/>
    <n v="70376600"/>
  </r>
  <r>
    <x v="4752"/>
    <n v="26.690000999999999"/>
    <n v="26.82"/>
    <n v="26.610001"/>
    <x v="2829"/>
    <n v="18.991167000000001"/>
    <n v="64712000"/>
  </r>
  <r>
    <x v="4753"/>
    <n v="26.77"/>
    <n v="26.85"/>
    <n v="26.620000999999998"/>
    <x v="2826"/>
    <n v="19.026691"/>
    <n v="72940600"/>
  </r>
  <r>
    <x v="4754"/>
    <n v="26.68"/>
    <n v="26.799999"/>
    <n v="26.16"/>
    <x v="2830"/>
    <n v="18.664337"/>
    <n v="89861600"/>
  </r>
  <r>
    <x v="4755"/>
    <n v="26.4"/>
    <n v="26.450001"/>
    <n v="26.040001"/>
    <x v="2387"/>
    <n v="18.557767999999999"/>
    <n v="92180800"/>
  </r>
  <r>
    <x v="4756"/>
    <n v="26.030000999999999"/>
    <n v="26.35"/>
    <n v="25.84"/>
    <x v="2407"/>
    <n v="18.699856"/>
    <n v="69146400"/>
  </r>
  <r>
    <x v="4757"/>
    <n v="26.209999"/>
    <n v="26.26"/>
    <n v="25.92"/>
    <x v="2694"/>
    <n v="18.458302"/>
    <n v="58114100"/>
  </r>
  <r>
    <x v="4758"/>
    <n v="25.84"/>
    <n v="26.1"/>
    <n v="25.74"/>
    <x v="2609"/>
    <n v="18.373051"/>
    <n v="58380100"/>
  </r>
  <r>
    <x v="4759"/>
    <n v="25.950001"/>
    <n v="26.129999000000002"/>
    <n v="25.639999"/>
    <x v="2246"/>
    <n v="18.223841"/>
    <n v="76501000"/>
  </r>
  <r>
    <x v="4760"/>
    <n v="25.76"/>
    <n v="26"/>
    <n v="25.639999"/>
    <x v="2703"/>
    <n v="18.238049"/>
    <n v="69010900"/>
  </r>
  <r>
    <x v="4761"/>
    <n v="25.76"/>
    <n v="26.190000999999999"/>
    <n v="25.75"/>
    <x v="2831"/>
    <n v="18.486716999999999"/>
    <n v="67580700"/>
  </r>
  <r>
    <x v="4762"/>
    <n v="26.07"/>
    <n v="26.17"/>
    <n v="25.9"/>
    <x v="2832"/>
    <n v="18.479611999999999"/>
    <n v="64974500"/>
  </r>
  <r>
    <x v="4763"/>
    <n v="25.950001"/>
    <n v="26.16"/>
    <n v="25.85"/>
    <x v="2461"/>
    <n v="18.550674000000001"/>
    <n v="93204100"/>
  </r>
  <r>
    <x v="4764"/>
    <n v="26.540001"/>
    <n v="26.65"/>
    <n v="25.959999"/>
    <x v="2653"/>
    <n v="18.600401000000002"/>
    <n v="110466500"/>
  </r>
  <r>
    <x v="4765"/>
    <n v="26.35"/>
    <n v="26.52"/>
    <n v="26.16"/>
    <x v="2833"/>
    <n v="18.671446"/>
    <n v="71442100"/>
  </r>
  <r>
    <x v="4766"/>
    <n v="26.25"/>
    <n v="26.43"/>
    <n v="26.219999000000001"/>
    <x v="2735"/>
    <n v="18.749603"/>
    <n v="57981700"/>
  </r>
  <r>
    <x v="4767"/>
    <n v="26.42"/>
    <n v="26.5"/>
    <n v="26.280000999999999"/>
    <x v="2433"/>
    <n v="18.799330000000001"/>
    <n v="79329500"/>
  </r>
  <r>
    <x v="4768"/>
    <n v="26.370000999999998"/>
    <n v="26.4"/>
    <n v="26.1"/>
    <x v="2653"/>
    <n v="18.600401000000002"/>
    <n v="62545400"/>
  </r>
  <r>
    <x v="4769"/>
    <n v="26.17"/>
    <n v="26.370000999999998"/>
    <n v="26.139999"/>
    <x v="2407"/>
    <n v="18.699856"/>
    <n v="61246500"/>
  </r>
  <r>
    <x v="4770"/>
    <n v="26.27"/>
    <n v="26.299999"/>
    <n v="26.059999000000001"/>
    <x v="2405"/>
    <n v="18.586189000000001"/>
    <n v="57763400"/>
  </r>
  <r>
    <x v="4771"/>
    <n v="26.190000999999999"/>
    <n v="26.34"/>
    <n v="26.16"/>
    <x v="2660"/>
    <n v="18.643024"/>
    <n v="61343700"/>
  </r>
  <r>
    <x v="4772"/>
    <n v="26.25"/>
    <n v="26.309999000000001"/>
    <n v="26.040001"/>
    <x v="2631"/>
    <n v="18.522247"/>
    <n v="77874800"/>
  </r>
  <r>
    <x v="4773"/>
    <n v="26.1"/>
    <n v="26.129999000000002"/>
    <n v="26"/>
    <x v="2394"/>
    <n v="18.515136999999999"/>
    <n v="71796400"/>
  </r>
  <r>
    <x v="4774"/>
    <n v="26.030000999999999"/>
    <n v="26.120000999999998"/>
    <n v="25.809999000000001"/>
    <x v="2834"/>
    <n v="18.451204000000001"/>
    <n v="83835900"/>
  </r>
  <r>
    <x v="4775"/>
    <n v="25.93"/>
    <n v="26.120000999999998"/>
    <n v="25.91"/>
    <x v="2832"/>
    <n v="18.479611999999999"/>
    <n v="58694000"/>
  </r>
  <r>
    <x v="4776"/>
    <n v="26"/>
    <n v="26.08"/>
    <n v="25.860001"/>
    <x v="2435"/>
    <n v="18.479610000000001"/>
    <n v="76551600"/>
  </r>
  <r>
    <x v="4777"/>
    <n v="25.870000999999998"/>
    <n v="25.93"/>
    <n v="25.67"/>
    <x v="2614"/>
    <n v="18.379835"/>
    <n v="57506600"/>
  </r>
  <r>
    <x v="4778"/>
    <n v="25.709999"/>
    <n v="25.860001"/>
    <n v="25.6"/>
    <x v="2246"/>
    <n v="18.280063999999999"/>
    <n v="67024800"/>
  </r>
  <r>
    <x v="4779"/>
    <n v="25.639999"/>
    <n v="25.65"/>
    <n v="25.4"/>
    <x v="2750"/>
    <n v="18.158901"/>
    <n v="77091100"/>
  </r>
  <r>
    <x v="4780"/>
    <n v="25.25"/>
    <n v="25.49"/>
    <n v="25.200001"/>
    <x v="2835"/>
    <n v="17.980747000000001"/>
    <n v="96419200"/>
  </r>
  <r>
    <x v="4781"/>
    <n v="25.24"/>
    <n v="25.35"/>
    <n v="25.17"/>
    <x v="2746"/>
    <n v="17.959368000000001"/>
    <n v="83689400"/>
  </r>
  <r>
    <x v="4782"/>
    <n v="25.18"/>
    <n v="25.440000999999999"/>
    <n v="25.15"/>
    <x v="2737"/>
    <n v="18.080514999999998"/>
    <n v="85236300"/>
  </r>
  <r>
    <x v="4783"/>
    <n v="25.33"/>
    <n v="25.379999000000002"/>
    <n v="25.15"/>
    <x v="2590"/>
    <n v="17.994997000000001"/>
    <n v="62467700"/>
  </r>
  <r>
    <x v="4784"/>
    <n v="25.219999000000001"/>
    <n v="25.370000999999998"/>
    <n v="25.129999000000002"/>
    <x v="2738"/>
    <n v="17.930855000000001"/>
    <n v="82728000"/>
  </r>
  <r>
    <x v="4785"/>
    <n v="25.190000999999999"/>
    <n v="25.41"/>
    <n v="25.129999000000002"/>
    <x v="2836"/>
    <n v="18.016376000000001"/>
    <n v="56394800"/>
  </r>
  <r>
    <x v="4786"/>
    <n v="25.190000999999999"/>
    <n v="25.48"/>
    <n v="25.16"/>
    <x v="2634"/>
    <n v="18.002120999999999"/>
    <n v="67739000"/>
  </r>
  <r>
    <x v="4787"/>
    <n v="25.299999"/>
    <n v="25.309999000000001"/>
    <n v="25.139999"/>
    <x v="2594"/>
    <n v="17.937984"/>
    <n v="52183600"/>
  </r>
  <r>
    <x v="4788"/>
    <n v="25.209999"/>
    <n v="25.299999"/>
    <n v="25.129999000000002"/>
    <x v="2594"/>
    <n v="17.937984"/>
    <n v="63058200"/>
  </r>
  <r>
    <x v="4789"/>
    <n v="25.17"/>
    <n v="25.790001"/>
    <n v="25.16"/>
    <x v="2837"/>
    <n v="18.151779000000001"/>
    <n v="80407400"/>
  </r>
  <r>
    <x v="4790"/>
    <n v="25.4"/>
    <n v="25.620000999999998"/>
    <n v="25.34"/>
    <x v="2700"/>
    <n v="18.101896"/>
    <n v="52871800"/>
  </r>
  <r>
    <x v="4791"/>
    <n v="25.389999"/>
    <n v="25.57"/>
    <n v="25.280000999999999"/>
    <x v="2745"/>
    <n v="18.037762000000001"/>
    <n v="62991800"/>
  </r>
  <r>
    <x v="4792"/>
    <n v="25.43"/>
    <n v="25.48"/>
    <n v="25.25"/>
    <x v="2838"/>
    <n v="18.123272"/>
    <n v="59132900"/>
  </r>
  <r>
    <x v="4793"/>
    <n v="25.450001"/>
    <n v="25.48"/>
    <n v="25.059999000000001"/>
    <x v="2593"/>
    <n v="17.880967999999999"/>
    <n v="60617900"/>
  </r>
  <r>
    <x v="4794"/>
    <n v="25.08"/>
    <n v="25.15"/>
    <n v="24.959999"/>
    <x v="2699"/>
    <n v="17.895222"/>
    <n v="65550500"/>
  </r>
  <r>
    <x v="4795"/>
    <n v="25.1"/>
    <n v="25.24"/>
    <n v="24.889999"/>
    <x v="2839"/>
    <n v="17.752686000000001"/>
    <n v="71469400"/>
  </r>
  <r>
    <x v="4796"/>
    <n v="24.82"/>
    <n v="24.969999000000001"/>
    <n v="24.559999000000001"/>
    <x v="2571"/>
    <n v="17.553141"/>
    <n v="74841400"/>
  </r>
  <r>
    <x v="4797"/>
    <n v="24.639999"/>
    <n v="24.68"/>
    <n v="24.530000999999999"/>
    <x v="2466"/>
    <n v="17.488997000000001"/>
    <n v="60573200"/>
  </r>
  <r>
    <x v="4798"/>
    <n v="24.530000999999999"/>
    <n v="24.91"/>
    <n v="24.280000999999999"/>
    <x v="2391"/>
    <n v="17.325088999999998"/>
    <n v="135904000"/>
  </r>
  <r>
    <x v="4799"/>
    <n v="24.35"/>
    <n v="24.360001"/>
    <n v="24.15"/>
    <x v="2598"/>
    <n v="17.246693"/>
    <n v="71446200"/>
  </r>
  <r>
    <x v="4800"/>
    <n v="24.190000999999999"/>
    <n v="24.27"/>
    <n v="23.959999"/>
    <x v="2447"/>
    <n v="17.097031000000001"/>
    <n v="102113300"/>
  </r>
  <r>
    <x v="4801"/>
    <n v="23.99"/>
    <n v="24.389999"/>
    <n v="23.959999"/>
    <x v="2840"/>
    <n v="17.232433"/>
    <n v="79293300"/>
  </r>
  <r>
    <x v="4802"/>
    <n v="24.24"/>
    <n v="24.469999000000001"/>
    <n v="24.200001"/>
    <x v="2559"/>
    <n v="17.303705000000001"/>
    <n v="78820900"/>
  </r>
  <r>
    <x v="4803"/>
    <n v="24.4"/>
    <n v="24.469999000000001"/>
    <n v="24.18"/>
    <x v="2598"/>
    <n v="17.246693"/>
    <n v="49802000"/>
  </r>
  <r>
    <x v="4804"/>
    <n v="24.139999"/>
    <n v="24.24"/>
    <n v="23.82"/>
    <x v="2841"/>
    <n v="17.047148"/>
    <n v="74231700"/>
  </r>
  <r>
    <x v="4805"/>
    <n v="24.040001"/>
    <n v="24.190000999999999"/>
    <n v="24"/>
    <x v="2616"/>
    <n v="17.218184999999998"/>
    <n v="59585700"/>
  </r>
  <r>
    <x v="4806"/>
    <n v="24.25"/>
    <n v="24.309999000000001"/>
    <n v="24.120000999999998"/>
    <x v="2842"/>
    <n v="17.225313"/>
    <n v="62382300"/>
  </r>
  <r>
    <x v="4807"/>
    <n v="24.24"/>
    <n v="24.35"/>
    <n v="24.1"/>
    <x v="2558"/>
    <n v="17.189675999999999"/>
    <n v="64619600"/>
  </r>
  <r>
    <x v="4808"/>
    <n v="24.110001"/>
    <n v="24.26"/>
    <n v="23.940000999999999"/>
    <x v="2843"/>
    <n v="17.268073999999999"/>
    <n v="62196400"/>
  </r>
  <r>
    <x v="4809"/>
    <n v="24.219999000000001"/>
    <n v="24.5"/>
    <n v="24.120000999999998"/>
    <x v="2844"/>
    <n v="17.439112000000002"/>
    <n v="73549600"/>
  </r>
  <r>
    <x v="4810"/>
    <n v="24.469999000000001"/>
    <n v="24.940000999999999"/>
    <n v="24.450001"/>
    <x v="2585"/>
    <n v="17.581648000000001"/>
    <n v="78020200"/>
  </r>
  <r>
    <x v="4811"/>
    <n v="24.66"/>
    <n v="25.129999000000002"/>
    <n v="24.629999000000002"/>
    <x v="2698"/>
    <n v="17.888096000000001"/>
    <n v="77451500"/>
  </r>
  <r>
    <x v="4812"/>
    <n v="25.07"/>
    <n v="25.25"/>
    <n v="24.91"/>
    <x v="2845"/>
    <n v="17.774073000000001"/>
    <n v="47956300"/>
  </r>
  <r>
    <x v="4813"/>
    <n v="25.030000999999999"/>
    <n v="25.110001"/>
    <n v="24.860001"/>
    <x v="2846"/>
    <n v="17.795448"/>
    <n v="47791800"/>
  </r>
  <r>
    <x v="4814"/>
    <n v="24.92"/>
    <n v="25.35"/>
    <n v="24.799999"/>
    <x v="2847"/>
    <n v="18.044884"/>
    <n v="67517800"/>
  </r>
  <r>
    <x v="4815"/>
    <n v="25.23"/>
    <n v="25.450001"/>
    <n v="24.99"/>
    <x v="2591"/>
    <n v="17.845337000000001"/>
    <n v="60929300"/>
  </r>
  <r>
    <x v="4816"/>
    <n v="25.01"/>
    <n v="25.139999"/>
    <n v="24.83"/>
    <x v="2848"/>
    <n v="17.702801000000001"/>
    <n v="66754400"/>
  </r>
  <r>
    <x v="4817"/>
    <n v="24.58"/>
    <n v="24.9"/>
    <n v="24.41"/>
    <x v="2849"/>
    <n v="17.431982000000001"/>
    <n v="100251600"/>
  </r>
  <r>
    <x v="4818"/>
    <n v="24.450001"/>
    <n v="24.84"/>
    <n v="24.4"/>
    <x v="2628"/>
    <n v="17.567398000000001"/>
    <n v="75766400"/>
  </r>
  <r>
    <x v="4819"/>
    <n v="24.709999"/>
    <n v="24.799999"/>
    <n v="24.450001"/>
    <x v="2571"/>
    <n v="17.553141"/>
    <n v="65956200"/>
  </r>
  <r>
    <x v="4820"/>
    <n v="24.66"/>
    <n v="24.700001"/>
    <n v="24.299999"/>
    <x v="2850"/>
    <n v="17.332214"/>
    <n v="91923500"/>
  </r>
  <r>
    <x v="4821"/>
    <n v="24.48"/>
    <n v="25.389999"/>
    <n v="24.469999000000001"/>
    <x v="2836"/>
    <n v="18.016376000000001"/>
    <n v="93562300"/>
  </r>
  <r>
    <x v="4822"/>
    <n v="25.049999"/>
    <n v="25.25"/>
    <n v="24.780000999999999"/>
    <x v="2248"/>
    <n v="17.802575999999998"/>
    <n v="80087500"/>
  </r>
  <r>
    <x v="4823"/>
    <n v="25.07"/>
    <n v="25.280000999999999"/>
    <n v="24.860001"/>
    <x v="2410"/>
    <n v="17.809702000000001"/>
    <n v="75457900"/>
  </r>
  <r>
    <x v="4824"/>
    <n v="24.950001"/>
    <n v="25.25"/>
    <n v="24.74"/>
    <x v="2599"/>
    <n v="17.645792"/>
    <n v="60464300"/>
  </r>
  <r>
    <x v="4825"/>
    <n v="24.66"/>
    <n v="25.15"/>
    <n v="24.629999000000002"/>
    <x v="2410"/>
    <n v="17.809702000000001"/>
    <n v="47732800"/>
  </r>
  <r>
    <x v="4826"/>
    <n v="24.82"/>
    <n v="24.92"/>
    <n v="24.440000999999999"/>
    <x v="2851"/>
    <n v="17.424862000000001"/>
    <n v="83623100"/>
  </r>
  <r>
    <x v="4827"/>
    <n v="24.879999000000002"/>
    <n v="25.299999"/>
    <n v="24.790001"/>
    <x v="2852"/>
    <n v="18.030632000000001"/>
    <n v="98641200"/>
  </r>
  <r>
    <x v="4828"/>
    <n v="25.23"/>
    <n v="25.360001"/>
    <n v="24.950001"/>
    <x v="2835"/>
    <n v="17.980747000000001"/>
    <n v="54376700"/>
  </r>
  <r>
    <x v="4829"/>
    <n v="25.129999000000002"/>
    <n v="25.4"/>
    <n v="25.09"/>
    <x v="2853"/>
    <n v="18.073395000000001"/>
    <n v="67867800"/>
  </r>
  <r>
    <x v="4830"/>
    <n v="25.34"/>
    <n v="25.4"/>
    <n v="25.110001"/>
    <x v="2602"/>
    <n v="17.966494000000001"/>
    <n v="86864200"/>
  </r>
  <r>
    <x v="4831"/>
    <n v="25.200001"/>
    <n v="25.33"/>
    <n v="25.08"/>
    <x v="2835"/>
    <n v="17.980747000000001"/>
    <n v="59362300"/>
  </r>
  <r>
    <x v="4832"/>
    <n v="25.33"/>
    <n v="25.48"/>
    <n v="25.190000999999999"/>
    <x v="2604"/>
    <n v="17.973617999999998"/>
    <n v="64322600"/>
  </r>
  <r>
    <x v="4833"/>
    <n v="25.23"/>
    <n v="25.33"/>
    <n v="25.049999"/>
    <x v="2699"/>
    <n v="17.895222"/>
    <n v="61872400"/>
  </r>
  <r>
    <x v="4834"/>
    <n v="25.040001"/>
    <n v="25.08"/>
    <n v="24.82"/>
    <x v="2854"/>
    <n v="17.745556000000001"/>
    <n v="62235100"/>
  </r>
  <r>
    <x v="4835"/>
    <n v="24.889999"/>
    <n v="24.969999000000001"/>
    <n v="24.639999"/>
    <x v="2839"/>
    <n v="17.752686000000001"/>
    <n v="59463300"/>
  </r>
  <r>
    <x v="4836"/>
    <n v="24.84"/>
    <n v="25.110001"/>
    <n v="24.83"/>
    <x v="2458"/>
    <n v="17.81683"/>
    <n v="74540700"/>
  </r>
  <r>
    <x v="4837"/>
    <n v="25.030000999999999"/>
    <n v="25.379999000000002"/>
    <n v="24.99"/>
    <x v="2852"/>
    <n v="18.030632000000001"/>
    <n v="77204300"/>
  </r>
  <r>
    <x v="4838"/>
    <n v="25.23"/>
    <n v="25.5"/>
    <n v="25.190000999999999"/>
    <x v="2589"/>
    <n v="18.223654"/>
    <n v="50577300"/>
  </r>
  <r>
    <x v="4839"/>
    <n v="25.309999000000001"/>
    <n v="25.5"/>
    <n v="25.25"/>
    <x v="2855"/>
    <n v="18.202213"/>
    <n v="39983200"/>
  </r>
  <r>
    <x v="4840"/>
    <n v="25.5"/>
    <n v="25.84"/>
    <n v="25.42"/>
    <x v="2633"/>
    <n v="18.373799999999999"/>
    <n v="71182400"/>
  </r>
  <r>
    <x v="4841"/>
    <n v="25.75"/>
    <n v="26.049999"/>
    <n v="25.700001"/>
    <x v="2431"/>
    <n v="18.531082000000001"/>
    <n v="52120800"/>
  </r>
  <r>
    <x v="4842"/>
    <n v="25.879999000000002"/>
    <n v="25.92"/>
    <n v="25.73"/>
    <x v="2605"/>
    <n v="18.402397000000001"/>
    <n v="64444500"/>
  </r>
  <r>
    <x v="4843"/>
    <n v="25.74"/>
    <n v="26.07"/>
    <n v="25.74"/>
    <x v="2539"/>
    <n v="18.481041000000001"/>
    <n v="75421100"/>
  </r>
  <r>
    <x v="4844"/>
    <n v="25.799999"/>
    <n v="25.879999000000002"/>
    <n v="25.719999000000001"/>
    <x v="2386"/>
    <n v="18.409545999999999"/>
    <n v="61287700"/>
  </r>
  <r>
    <x v="4845"/>
    <n v="25.68"/>
    <n v="25.77"/>
    <n v="25.5"/>
    <x v="2655"/>
    <n v="18.380951"/>
    <n v="35749000"/>
  </r>
  <r>
    <x v="4846"/>
    <n v="25.75"/>
    <n v="26"/>
    <n v="25.73"/>
    <x v="2436"/>
    <n v="18.516791999999999"/>
    <n v="50579200"/>
  </r>
  <r>
    <x v="4847"/>
    <n v="25.83"/>
    <n v="26.09"/>
    <n v="25.809999000000001"/>
    <x v="2631"/>
    <n v="18.638321000000001"/>
    <n v="54978000"/>
  </r>
  <r>
    <x v="4848"/>
    <n v="25.99"/>
    <n v="26.030000999999999"/>
    <n v="25.75"/>
    <x v="2606"/>
    <n v="18.445295000000002"/>
    <n v="46131100"/>
  </r>
  <r>
    <x v="4849"/>
    <n v="25.73"/>
    <n v="26"/>
    <n v="25.610001"/>
    <x v="2856"/>
    <n v="18.452452000000001"/>
    <n v="54621000"/>
  </r>
  <r>
    <x v="4850"/>
    <n v="25.709999"/>
    <n v="25.860001"/>
    <n v="25.639999"/>
    <x v="2614"/>
    <n v="18.438147000000001"/>
    <n v="27212500"/>
  </r>
  <r>
    <x v="4851"/>
    <n v="25.700001"/>
    <n v="25.809999000000001"/>
    <n v="25.34"/>
    <x v="2838"/>
    <n v="18.180769000000002"/>
    <n v="79659500"/>
  </r>
  <r>
    <x v="4852"/>
    <n v="25.379999000000002"/>
    <n v="25.5"/>
    <n v="25.309999000000001"/>
    <x v="2737"/>
    <n v="18.137867"/>
    <n v="40756900"/>
  </r>
  <r>
    <x v="4853"/>
    <n v="25.33"/>
    <n v="25.83"/>
    <n v="25.309999000000001"/>
    <x v="2751"/>
    <n v="18.237963000000001"/>
    <n v="54511400"/>
  </r>
  <r>
    <x v="4854"/>
    <n v="25.549999"/>
    <n v="25.620000999999998"/>
    <n v="25.34"/>
    <x v="2700"/>
    <n v="18.159314999999999"/>
    <n v="45369700"/>
  </r>
  <r>
    <x v="4855"/>
    <n v="25.4"/>
    <n v="25.610001"/>
    <n v="25.35"/>
    <x v="2751"/>
    <n v="18.237963000000001"/>
    <n v="52767900"/>
  </r>
  <r>
    <x v="4856"/>
    <n v="25.49"/>
    <n v="25.52"/>
    <n v="25.34"/>
    <x v="2838"/>
    <n v="18.180769000000002"/>
    <n v="39459800"/>
  </r>
  <r>
    <x v="4857"/>
    <n v="25.360001"/>
    <n v="25.49"/>
    <n v="25.26"/>
    <x v="2745"/>
    <n v="18.094975000000002"/>
    <n v="49104100"/>
  </r>
  <r>
    <x v="4858"/>
    <n v="25.309999000000001"/>
    <n v="25.440000999999999"/>
    <n v="25.24"/>
    <x v="2853"/>
    <n v="18.130725999999999"/>
    <n v="44243300"/>
  </r>
  <r>
    <x v="4859"/>
    <n v="25.4"/>
    <n v="25.41"/>
    <n v="25.110001"/>
    <x v="2634"/>
    <n v="18.059231"/>
    <n v="50764800"/>
  </r>
  <r>
    <x v="4860"/>
    <n v="25.219999000000001"/>
    <n v="25.23"/>
    <n v="24.950001"/>
    <x v="2591"/>
    <n v="17.901942999999999"/>
    <n v="65918800"/>
  </r>
  <r>
    <x v="4861"/>
    <n v="25.27"/>
    <n v="25.290001"/>
    <n v="24.92"/>
    <x v="2591"/>
    <n v="17.901942999999999"/>
    <n v="90821300"/>
  </r>
  <r>
    <x v="4862"/>
    <n v="24.98"/>
    <n v="25.280000999999999"/>
    <n v="24.93"/>
    <x v="2699"/>
    <n v="17.951989999999999"/>
    <n v="50538900"/>
  </r>
  <r>
    <x v="4863"/>
    <n v="25.08"/>
    <n v="25.190000999999999"/>
    <n v="25.040001"/>
    <x v="2696"/>
    <n v="17.980585000000001"/>
    <n v="81084000"/>
  </r>
  <r>
    <x v="4864"/>
    <n v="25.110001"/>
    <n v="25.26"/>
    <n v="25.030000999999999"/>
    <x v="2857"/>
    <n v="17.923389"/>
    <n v="60492700"/>
  </r>
  <r>
    <x v="4865"/>
    <n v="25.17"/>
    <n v="25.620000999999998"/>
    <n v="25.15"/>
    <x v="2745"/>
    <n v="18.094975000000002"/>
    <n v="105159800"/>
  </r>
  <r>
    <x v="4866"/>
    <n v="25.219999000000001"/>
    <n v="25.4"/>
    <n v="25.040001"/>
    <x v="2591"/>
    <n v="17.901942999999999"/>
    <n v="57970700"/>
  </r>
  <r>
    <x v="4867"/>
    <n v="25.07"/>
    <n v="25.25"/>
    <n v="25.030000999999999"/>
    <x v="2858"/>
    <n v="17.909088000000001"/>
    <n v="61636200"/>
  </r>
  <r>
    <x v="4868"/>
    <n v="25.09"/>
    <n v="25.200001"/>
    <n v="25.030000999999999"/>
    <x v="2857"/>
    <n v="17.923389"/>
    <n v="53058100"/>
  </r>
  <r>
    <x v="4869"/>
    <n v="25.219999000000001"/>
    <n v="25.32"/>
    <n v="25"/>
    <x v="2593"/>
    <n v="17.937683"/>
    <n v="55859900"/>
  </r>
  <r>
    <x v="4870"/>
    <n v="25.059999000000001"/>
    <n v="25.139999"/>
    <n v="24.82"/>
    <x v="2848"/>
    <n v="17.758956999999999"/>
    <n v="82018200"/>
  </r>
  <r>
    <x v="4871"/>
    <n v="24.85"/>
    <n v="24.99"/>
    <n v="24.67"/>
    <x v="2409"/>
    <n v="17.666015999999999"/>
    <n v="69718400"/>
  </r>
  <r>
    <x v="4872"/>
    <n v="24.66"/>
    <n v="25.190000999999999"/>
    <n v="24.620000999999998"/>
    <x v="2248"/>
    <n v="17.859043"/>
    <n v="61883500"/>
  </r>
  <r>
    <x v="4873"/>
    <n v="24.969999000000001"/>
    <n v="25.08"/>
    <n v="24.690000999999999"/>
    <x v="2859"/>
    <n v="17.658864999999999"/>
    <n v="64214600"/>
  </r>
  <r>
    <x v="4874"/>
    <n v="24.58"/>
    <n v="24.709999"/>
    <n v="24.5"/>
    <x v="2628"/>
    <n v="17.623118999999999"/>
    <n v="80082900"/>
  </r>
  <r>
    <x v="4875"/>
    <n v="24.639999"/>
    <n v="25.120000999999998"/>
    <n v="24.629999000000002"/>
    <x v="2593"/>
    <n v="17.937683"/>
    <n v="56104000"/>
  </r>
  <r>
    <x v="4876"/>
    <n v="25.15"/>
    <n v="25.379999000000002"/>
    <n v="25.110001"/>
    <x v="2465"/>
    <n v="18.080683000000001"/>
    <n v="61525400"/>
  </r>
  <r>
    <x v="4877"/>
    <n v="25.24"/>
    <n v="25.620000999999998"/>
    <n v="25.200001"/>
    <x v="2656"/>
    <n v="18.309456000000001"/>
    <n v="63384800"/>
  </r>
  <r>
    <x v="4878"/>
    <n v="25.530000999999999"/>
    <n v="25.75"/>
    <n v="25.48"/>
    <x v="2654"/>
    <n v="18.345199999999998"/>
    <n v="44749200"/>
  </r>
  <r>
    <x v="4879"/>
    <n v="25.790001"/>
    <n v="26.1"/>
    <n v="25.790001"/>
    <x v="2834"/>
    <n v="18.566832000000002"/>
    <n v="69506800"/>
  </r>
  <r>
    <x v="4880"/>
    <n v="26.040001"/>
    <n v="26.1"/>
    <n v="25.75"/>
    <x v="2614"/>
    <n v="18.438147000000001"/>
    <n v="56472800"/>
  </r>
  <r>
    <x v="4881"/>
    <n v="25.709999"/>
    <n v="25.790001"/>
    <n v="25.549999"/>
    <x v="2860"/>
    <n v="18.266553999999999"/>
    <n v="39668000"/>
  </r>
  <r>
    <x v="4882"/>
    <n v="25.790001"/>
    <n v="26.25"/>
    <n v="25.75"/>
    <x v="2405"/>
    <n v="18.702670999999999"/>
    <n v="113290100"/>
  </r>
  <r>
    <x v="4883"/>
    <n v="26"/>
    <n v="26.23"/>
    <n v="25.879999000000002"/>
    <x v="2760"/>
    <n v="18.724115000000001"/>
    <n v="71424800"/>
  </r>
  <r>
    <x v="4884"/>
    <n v="26.299999"/>
    <n v="26.48"/>
    <n v="26"/>
    <x v="2861"/>
    <n v="18.902853"/>
    <n v="112932100"/>
  </r>
  <r>
    <x v="4885"/>
    <n v="25.99"/>
    <n v="26.34"/>
    <n v="25.629999000000002"/>
    <x v="2862"/>
    <n v="18.359501000000002"/>
    <n v="97558900"/>
  </r>
  <r>
    <x v="4886"/>
    <n v="25.690000999999999"/>
    <n v="25.9"/>
    <n v="25.65"/>
    <x v="2695"/>
    <n v="18.36665"/>
    <n v="45174600"/>
  </r>
  <r>
    <x v="4887"/>
    <n v="25.719999000000001"/>
    <n v="25.74"/>
    <n v="25.530000999999999"/>
    <x v="2658"/>
    <n v="18.259412999999999"/>
    <n v="51476400"/>
  </r>
  <r>
    <x v="4888"/>
    <n v="25.610001"/>
    <n v="25.799999"/>
    <n v="25.530000999999999"/>
    <x v="2430"/>
    <n v="18.388093999999999"/>
    <n v="57977300"/>
  </r>
  <r>
    <x v="4889"/>
    <n v="25.75"/>
    <n v="25.85"/>
    <n v="25.66"/>
    <x v="2386"/>
    <n v="18.409545999999999"/>
    <n v="44738700"/>
  </r>
  <r>
    <x v="4890"/>
    <n v="25.780000999999999"/>
    <n v="26"/>
    <n v="25.59"/>
    <x v="2656"/>
    <n v="18.309456000000001"/>
    <n v="59524400"/>
  </r>
  <r>
    <x v="4891"/>
    <n v="25.809999000000001"/>
    <n v="26.049999"/>
    <n v="25.76"/>
    <x v="2431"/>
    <n v="18.531082000000001"/>
    <n v="61346800"/>
  </r>
  <r>
    <x v="4892"/>
    <n v="25.9"/>
    <n v="26.9"/>
    <n v="25.870000999999998"/>
    <x v="2819"/>
    <n v="19.167373999999999"/>
    <n v="137510100"/>
  </r>
  <r>
    <x v="4893"/>
    <n v="26.76"/>
    <n v="27.43"/>
    <n v="26.73"/>
    <x v="2795"/>
    <n v="19.481943000000001"/>
    <n v="139422400"/>
  </r>
  <r>
    <x v="4894"/>
    <n v="27.16"/>
    <n v="27.5"/>
    <n v="27.049999"/>
    <x v="2762"/>
    <n v="19.531995999999999"/>
    <n v="91461400"/>
  </r>
  <r>
    <x v="4895"/>
    <n v="27.290001"/>
    <n v="27.940000999999999"/>
    <n v="27.25"/>
    <x v="2863"/>
    <n v="19.846564999999998"/>
    <n v="82212400"/>
  </r>
  <r>
    <x v="4896"/>
    <n v="27.799999"/>
    <n v="27.84"/>
    <n v="27.08"/>
    <x v="2864"/>
    <n v="19.396152000000001"/>
    <n v="77207200"/>
  </r>
  <r>
    <x v="4897"/>
    <n v="27.219999000000001"/>
    <n v="27.51"/>
    <n v="27.01"/>
    <x v="2428"/>
    <n v="19.553447999999999"/>
    <n v="64761800"/>
  </r>
  <r>
    <x v="4898"/>
    <n v="27.41"/>
    <n v="27.5"/>
    <n v="26.85"/>
    <x v="2730"/>
    <n v="19.267471"/>
    <n v="62818800"/>
  </r>
  <r>
    <x v="4899"/>
    <n v="26.98"/>
    <n v="27.299999"/>
    <n v="26.889999"/>
    <x v="2643"/>
    <n v="19.496245999999999"/>
    <n v="48646800"/>
  </r>
  <r>
    <x v="4900"/>
    <n v="27.08"/>
    <n v="27.139999"/>
    <n v="26.9"/>
    <x v="2422"/>
    <n v="19.338963"/>
    <n v="52006500"/>
  </r>
  <r>
    <x v="4901"/>
    <n v="26.98"/>
    <n v="27.299999"/>
    <n v="26.690000999999999"/>
    <x v="2864"/>
    <n v="19.453690000000002"/>
    <n v="45976600"/>
  </r>
  <r>
    <x v="4902"/>
    <n v="27.030000999999999"/>
    <n v="27.139999"/>
    <n v="26.700001"/>
    <x v="2692"/>
    <n v="19.174036000000001"/>
    <n v="46894600"/>
  </r>
  <r>
    <x v="4903"/>
    <n v="26.82"/>
    <n v="27.15"/>
    <n v="26.66"/>
    <x v="2730"/>
    <n v="19.324617"/>
    <n v="52413100"/>
  </r>
  <r>
    <x v="4904"/>
    <n v="26.889999"/>
    <n v="27.08"/>
    <n v="26.799999"/>
    <x v="2865"/>
    <n v="19.231400000000001"/>
    <n v="40861900"/>
  </r>
  <r>
    <x v="4905"/>
    <n v="26.85"/>
    <n v="26.91"/>
    <n v="26.700001"/>
    <x v="2824"/>
    <n v="19.159694999999999"/>
    <n v="36043500"/>
  </r>
  <r>
    <x v="4906"/>
    <n v="26.790001"/>
    <n v="27.17"/>
    <n v="26.77"/>
    <x v="2536"/>
    <n v="19.295938"/>
    <n v="41691700"/>
  </r>
  <r>
    <x v="4907"/>
    <n v="26.84"/>
    <n v="27.07"/>
    <n v="26.74"/>
    <x v="2866"/>
    <n v="19.267256"/>
    <n v="48296700"/>
  </r>
  <r>
    <x v="4908"/>
    <n v="26.84"/>
    <n v="27.16"/>
    <n v="26.780000999999999"/>
    <x v="2819"/>
    <n v="19.224229999999999"/>
    <n v="63645000"/>
  </r>
  <r>
    <x v="4909"/>
    <n v="26.9"/>
    <n v="27.09"/>
    <n v="26.85"/>
    <x v="2867"/>
    <n v="19.381981"/>
    <n v="39306300"/>
  </r>
  <r>
    <x v="4910"/>
    <n v="27.059999000000001"/>
    <n v="27.08"/>
    <n v="26.870000999999998"/>
    <x v="2821"/>
    <n v="19.338963"/>
    <n v="36774600"/>
  </r>
  <r>
    <x v="4911"/>
    <n v="26.809999000000001"/>
    <n v="27.23"/>
    <n v="26.809999000000001"/>
    <x v="2709"/>
    <n v="19.468029000000001"/>
    <n v="52307700"/>
  </r>
  <r>
    <x v="4912"/>
    <n v="27.059999000000001"/>
    <n v="27.23"/>
    <n v="26.959999"/>
    <x v="2421"/>
    <n v="19.489532000000001"/>
    <n v="55163200"/>
  </r>
  <r>
    <x v="4913"/>
    <n v="27.17"/>
    <n v="27.440000999999999"/>
    <n v="27.040001"/>
    <x v="2868"/>
    <n v="19.632947999999999"/>
    <n v="65210200"/>
  </r>
  <r>
    <x v="4914"/>
    <n v="27.379999000000002"/>
    <n v="27.389999"/>
    <n v="27.15"/>
    <x v="2691"/>
    <n v="19.503882999999998"/>
    <n v="75974500"/>
  </r>
  <r>
    <x v="4915"/>
    <n v="27.209999"/>
    <n v="27.27"/>
    <n v="26.969999000000001"/>
    <x v="2729"/>
    <n v="19.374808999999999"/>
    <n v="52047500"/>
  </r>
  <r>
    <x v="4916"/>
    <n v="27.059999000000001"/>
    <n v="27.290001"/>
    <n v="26.98"/>
    <x v="2132"/>
    <n v="19.360465999999999"/>
    <n v="46089000"/>
  </r>
  <r>
    <x v="4917"/>
    <n v="26.940000999999999"/>
    <n v="27.110001"/>
    <n v="26.82"/>
    <x v="2822"/>
    <n v="19.252912999999999"/>
    <n v="44656100"/>
  </r>
  <r>
    <x v="4918"/>
    <n v="26.799999"/>
    <n v="26.879999000000002"/>
    <n v="26.52"/>
    <x v="2649"/>
    <n v="19.080822000000001"/>
    <n v="52552300"/>
  </r>
  <r>
    <x v="4919"/>
    <n v="26.620000999999998"/>
    <n v="26.82"/>
    <n v="26.530000999999999"/>
    <x v="2869"/>
    <n v="19.059308999999999"/>
    <n v="41515800"/>
  </r>
  <r>
    <x v="4920"/>
    <n v="26.620000999999998"/>
    <n v="26.75"/>
    <n v="26.52"/>
    <x v="2649"/>
    <n v="19.080822000000001"/>
    <n v="40550500"/>
  </r>
  <r>
    <x v="4921"/>
    <n v="26.540001"/>
    <n v="26.76"/>
    <n v="26.370000999999998"/>
    <x v="2756"/>
    <n v="18.987597999999998"/>
    <n v="63422900"/>
  </r>
  <r>
    <x v="4922"/>
    <n v="26.52"/>
    <n v="26.639999"/>
    <n v="26.299999"/>
    <x v="2870"/>
    <n v="18.865701999999999"/>
    <n v="54969600"/>
  </r>
  <r>
    <x v="4923"/>
    <n v="26.370000999999998"/>
    <n v="26.43"/>
    <n v="26.219999000000001"/>
    <x v="2830"/>
    <n v="18.837019000000002"/>
    <n v="60357200"/>
  </r>
  <r>
    <x v="4924"/>
    <n v="26.34"/>
    <n v="26.4"/>
    <n v="25.969999000000001"/>
    <x v="2631"/>
    <n v="18.693607"/>
    <n v="187384300"/>
  </r>
  <r>
    <x v="4925"/>
    <n v="26.09"/>
    <n v="26.27"/>
    <n v="25.860001"/>
    <x v="2438"/>
    <n v="18.643416999999999"/>
    <n v="61832300"/>
  </r>
  <r>
    <x v="4926"/>
    <n v="26.07"/>
    <n v="26.219999000000001"/>
    <n v="25.690000999999999"/>
    <x v="2702"/>
    <n v="18.528691999999999"/>
    <n v="61043400"/>
  </r>
  <r>
    <x v="4927"/>
    <n v="25.799999"/>
    <n v="25.9"/>
    <n v="25.43"/>
    <x v="2589"/>
    <n v="18.277708000000001"/>
    <n v="68281800"/>
  </r>
  <r>
    <x v="4928"/>
    <n v="25.49"/>
    <n v="25.6"/>
    <n v="25.15"/>
    <x v="2871"/>
    <n v="18.170158000000001"/>
    <n v="71314900"/>
  </r>
  <r>
    <x v="4929"/>
    <n v="25.309999000000001"/>
    <n v="25.540001"/>
    <n v="25.120000999999998"/>
    <x v="2872"/>
    <n v="18.119969999999999"/>
    <n v="66396800"/>
  </r>
  <r>
    <x v="4930"/>
    <n v="25.4"/>
    <n v="25.49"/>
    <n v="25.209999"/>
    <x v="2872"/>
    <n v="18.119969999999999"/>
    <n v="56203700"/>
  </r>
  <r>
    <x v="4931"/>
    <n v="25.370000999999998"/>
    <n v="25.450001"/>
    <n v="25.299999"/>
    <x v="2871"/>
    <n v="18.170158000000001"/>
    <n v="48797900"/>
  </r>
  <r>
    <x v="4932"/>
    <n v="25.389999"/>
    <n v="25.870000999999998"/>
    <n v="25.379999000000002"/>
    <x v="2703"/>
    <n v="18.406794000000001"/>
    <n v="71019400"/>
  </r>
  <r>
    <x v="4933"/>
    <n v="25.610001"/>
    <n v="26"/>
    <n v="25.5"/>
    <x v="2758"/>
    <n v="18.600398999999999"/>
    <n v="66807100"/>
  </r>
  <r>
    <x v="4934"/>
    <n v="25.91"/>
    <n v="25.950001"/>
    <n v="25.610001"/>
    <x v="2551"/>
    <n v="18.449812000000001"/>
    <n v="57644500"/>
  </r>
  <r>
    <x v="4935"/>
    <n v="25.709999"/>
    <n v="25.73"/>
    <n v="25.440000999999999"/>
    <x v="2553"/>
    <n v="18.284883000000001"/>
    <n v="55341300"/>
  </r>
  <r>
    <x v="4936"/>
    <n v="25.360001"/>
    <n v="25.389999"/>
    <n v="24.75"/>
    <x v="2248"/>
    <n v="17.912019999999998"/>
    <n v="151666300"/>
  </r>
  <r>
    <x v="4937"/>
    <n v="25.040001"/>
    <n v="25.049999"/>
    <n v="24.67"/>
    <x v="2585"/>
    <n v="17.689734999999999"/>
    <n v="73684700"/>
  </r>
  <r>
    <x v="4938"/>
    <n v="24.66"/>
    <n v="24.950001"/>
    <n v="24.530000999999999"/>
    <x v="2873"/>
    <n v="17.732752000000001"/>
    <n v="81724600"/>
  </r>
  <r>
    <x v="4939"/>
    <n v="24.77"/>
    <n v="24.84"/>
    <n v="24.52"/>
    <x v="2597"/>
    <n v="17.632372"/>
    <n v="50768700"/>
  </r>
  <r>
    <x v="4940"/>
    <n v="24.67"/>
    <n v="24.68"/>
    <n v="24.35"/>
    <x v="2849"/>
    <n v="17.539152000000001"/>
    <n v="48880900"/>
  </r>
  <r>
    <x v="4941"/>
    <n v="24.51"/>
    <n v="24.549999"/>
    <n v="24.25"/>
    <x v="2556"/>
    <n v="17.503298000000001"/>
    <n v="76567300"/>
  </r>
  <r>
    <x v="4942"/>
    <n v="24.49"/>
    <n v="24.700001"/>
    <n v="24.27"/>
    <x v="2874"/>
    <n v="17.424419"/>
    <n v="71294400"/>
  </r>
  <r>
    <x v="4943"/>
    <n v="24.309999000000001"/>
    <n v="24.73"/>
    <n v="24.27"/>
    <x v="2597"/>
    <n v="17.632372"/>
    <n v="70192000"/>
  </r>
  <r>
    <x v="4944"/>
    <n v="24.709999"/>
    <n v="24.73"/>
    <n v="24.5"/>
    <x v="2585"/>
    <n v="17.689734999999999"/>
    <n v="53846700"/>
  </r>
  <r>
    <x v="4945"/>
    <n v="24.68"/>
    <n v="24.690000999999999"/>
    <n v="24.440000999999999"/>
    <x v="2569"/>
    <n v="17.589348000000001"/>
    <n v="46924400"/>
  </r>
  <r>
    <x v="4946"/>
    <n v="24.49"/>
    <n v="24.83"/>
    <n v="24.450001"/>
    <x v="2596"/>
    <n v="17.618029"/>
    <n v="69328200"/>
  </r>
  <r>
    <x v="4947"/>
    <n v="24.559999000000001"/>
    <n v="25.09"/>
    <n v="24.5"/>
    <x v="2593"/>
    <n v="17.990898000000001"/>
    <n v="66574500"/>
  </r>
  <r>
    <x v="4948"/>
    <n v="25.049999"/>
    <n v="25.129999000000002"/>
    <n v="24.74"/>
    <x v="2618"/>
    <n v="17.775789"/>
    <n v="58830600"/>
  </r>
  <r>
    <x v="4949"/>
    <n v="24.91"/>
    <n v="25"/>
    <n v="24.57"/>
    <x v="2390"/>
    <n v="17.768612000000001"/>
    <n v="69431200"/>
  </r>
  <r>
    <x v="4950"/>
    <n v="24.889999"/>
    <n v="25.1"/>
    <n v="24.68"/>
    <x v="2698"/>
    <n v="17.998062000000001"/>
    <n v="51868000"/>
  </r>
  <r>
    <x v="4951"/>
    <n v="24.950001"/>
    <n v="25.129999000000002"/>
    <n v="24.83"/>
    <x v="2744"/>
    <n v="17.947873999999999"/>
    <n v="41310500"/>
  </r>
  <r>
    <x v="4952"/>
    <n v="24.969999000000001"/>
    <n v="25.33"/>
    <n v="24.93"/>
    <x v="2699"/>
    <n v="18.005239"/>
    <n v="58178100"/>
  </r>
  <r>
    <x v="4953"/>
    <n v="25.219999000000001"/>
    <n v="25.27"/>
    <n v="24.85"/>
    <x v="2875"/>
    <n v="17.818808000000001"/>
    <n v="61566100"/>
  </r>
  <r>
    <x v="4954"/>
    <n v="25.1"/>
    <n v="25.6"/>
    <n v="25.1"/>
    <x v="2752"/>
    <n v="18.306404000000001"/>
    <n v="106559300"/>
  </r>
  <r>
    <x v="4955"/>
    <n v="25.610001"/>
    <n v="25.799999"/>
    <n v="25.5"/>
    <x v="2633"/>
    <n v="18.428301000000001"/>
    <n v="75122100"/>
  </r>
  <r>
    <x v="4956"/>
    <n v="25.610001"/>
    <n v="26.1"/>
    <n v="25.610001"/>
    <x v="2630"/>
    <n v="18.614730999999999"/>
    <n v="71370400"/>
  </r>
  <r>
    <x v="4957"/>
    <n v="25.93"/>
    <n v="26.5"/>
    <n v="25.93"/>
    <x v="2433"/>
    <n v="18.973257"/>
    <n v="75067100"/>
  </r>
  <r>
    <x v="4958"/>
    <n v="26.6"/>
    <n v="26.639999"/>
    <n v="26.25"/>
    <x v="2861"/>
    <n v="18.958925000000001"/>
    <n v="73421600"/>
  </r>
  <r>
    <x v="4959"/>
    <n v="26.530000999999999"/>
    <n v="26.709999"/>
    <n v="26.450001"/>
    <x v="2876"/>
    <n v="19.116675999999998"/>
    <n v="57464000"/>
  </r>
  <r>
    <x v="4960"/>
    <n v="26.719999000000001"/>
    <n v="27.08"/>
    <n v="26.700001"/>
    <x v="2726"/>
    <n v="19.367647000000002"/>
    <n v="77104800"/>
  </r>
  <r>
    <x v="4961"/>
    <n v="26.940000999999999"/>
    <n v="27.18"/>
    <n v="26.77"/>
    <x v="2422"/>
    <n v="19.396322000000001"/>
    <n v="60091700"/>
  </r>
  <r>
    <x v="4962"/>
    <n v="26.98"/>
    <n v="27.15"/>
    <n v="26.940000999999999"/>
    <x v="2727"/>
    <n v="19.331785"/>
    <n v="59562100"/>
  </r>
  <r>
    <x v="4963"/>
    <n v="26.940000999999999"/>
    <n v="27.15"/>
    <n v="26.639999"/>
    <x v="2790"/>
    <n v="19.425001000000002"/>
    <n v="73314800"/>
  </r>
  <r>
    <x v="4964"/>
    <n v="27.15"/>
    <n v="27.389999"/>
    <n v="27.129999000000002"/>
    <x v="2256"/>
    <n v="19.561245"/>
    <n v="51945600"/>
  </r>
  <r>
    <x v="4965"/>
    <n v="27.360001"/>
    <n v="27.440000999999999"/>
    <n v="27.200001"/>
    <x v="2711"/>
    <n v="19.625775999999998"/>
    <n v="67152200"/>
  </r>
  <r>
    <x v="4966"/>
    <n v="27.33"/>
    <n v="27.540001"/>
    <n v="27.25"/>
    <x v="1691"/>
    <n v="19.776803999999998"/>
    <n v="65081000"/>
  </r>
  <r>
    <x v="4967"/>
    <n v="27.48"/>
    <n v="27.879999000000002"/>
    <n v="27.440000999999999"/>
    <x v="2806"/>
    <n v="19.949397999999999"/>
    <n v="86277000"/>
  </r>
  <r>
    <x v="4968"/>
    <n v="27.85"/>
    <n v="28"/>
    <n v="27.76"/>
    <x v="2808"/>
    <n v="20.114806999999999"/>
    <n v="91351000"/>
  </r>
  <r>
    <x v="4969"/>
    <n v="28.120000999999998"/>
    <n v="28.25"/>
    <n v="27.9"/>
    <x v="2785"/>
    <n v="20.186729"/>
    <n v="75431200"/>
  </r>
  <r>
    <x v="4970"/>
    <n v="28.07"/>
    <n v="28.24"/>
    <n v="27.84"/>
    <x v="2258"/>
    <n v="20.251449999999998"/>
    <n v="65794400"/>
  </r>
  <r>
    <x v="4971"/>
    <n v="28.059999000000001"/>
    <n v="28.08"/>
    <n v="27.860001"/>
    <x v="2723"/>
    <n v="20.071659"/>
    <n v="104253300"/>
  </r>
  <r>
    <x v="4972"/>
    <n v="27.92"/>
    <n v="28.09"/>
    <n v="27.74"/>
    <x v="2877"/>
    <n v="20.078845999999999"/>
    <n v="70541300"/>
  </r>
  <r>
    <x v="4973"/>
    <n v="27.799999"/>
    <n v="27.940000999999999"/>
    <n v="27.469999000000001"/>
    <x v="2863"/>
    <n v="19.963778000000001"/>
    <n v="44082500"/>
  </r>
  <r>
    <x v="4974"/>
    <n v="27.790001"/>
    <n v="27.85"/>
    <n v="27.530000999999999"/>
    <x v="1627"/>
    <n v="19.956593000000002"/>
    <n v="57517200"/>
  </r>
  <r>
    <x v="4975"/>
    <n v="27.790001"/>
    <n v="27.790001"/>
    <n v="27.6"/>
    <x v="2513"/>
    <n v="19.906255999999999"/>
    <n v="62220400"/>
  </r>
  <r>
    <x v="4976"/>
    <n v="27.68"/>
    <n v="27.77"/>
    <n v="27.629999000000002"/>
    <x v="2513"/>
    <n v="19.906255999999999"/>
    <n v="55904700"/>
  </r>
  <r>
    <x v="4977"/>
    <n v="27.73"/>
    <n v="28.1"/>
    <n v="27.73"/>
    <x v="2773"/>
    <n v="20.057278"/>
    <n v="61006100"/>
  </r>
  <r>
    <x v="4978"/>
    <n v="27.82"/>
    <n v="28.1"/>
    <n v="27.790001"/>
    <x v="2237"/>
    <n v="20.14357"/>
    <n v="42319600"/>
  </r>
  <r>
    <x v="4979"/>
    <n v="27.93"/>
    <n v="28.02"/>
    <n v="27.709999"/>
    <x v="2878"/>
    <n v="20.028517000000001"/>
    <n v="47517300"/>
  </r>
  <r>
    <x v="4980"/>
    <n v="27.9"/>
    <n v="27.92"/>
    <n v="27.68"/>
    <x v="2879"/>
    <n v="19.913436999999998"/>
    <n v="65980000"/>
  </r>
  <r>
    <x v="4981"/>
    <n v="27.67"/>
    <n v="27.75"/>
    <n v="27.549999"/>
    <x v="1627"/>
    <n v="19.956593000000002"/>
    <n v="55583200"/>
  </r>
  <r>
    <x v="4982"/>
    <n v="27.709999"/>
    <n v="27.809999000000001"/>
    <n v="27.6"/>
    <x v="2879"/>
    <n v="19.913436999999998"/>
    <n v="63931600"/>
  </r>
  <r>
    <x v="4983"/>
    <n v="27.709999"/>
    <n v="27.83"/>
    <n v="27.639999"/>
    <x v="2722"/>
    <n v="19.927828000000002"/>
    <n v="48467000"/>
  </r>
  <r>
    <x v="4984"/>
    <n v="27.700001"/>
    <n v="27.75"/>
    <n v="27.33"/>
    <x v="2712"/>
    <n v="19.740836999999999"/>
    <n v="63757200"/>
  </r>
  <r>
    <x v="4985"/>
    <n v="27.290001"/>
    <n v="27.43"/>
    <n v="27"/>
    <x v="2864"/>
    <n v="19.510712000000002"/>
    <n v="104285500"/>
  </r>
  <r>
    <x v="4986"/>
    <n v="27"/>
    <n v="27.24"/>
    <n v="26.85"/>
    <x v="2790"/>
    <n v="19.481953000000001"/>
    <n v="65076200"/>
  </r>
  <r>
    <x v="4987"/>
    <n v="27.08"/>
    <n v="27.110001"/>
    <n v="26.809999000000001"/>
    <x v="2880"/>
    <n v="19.359694999999999"/>
    <n v="79018100"/>
  </r>
  <r>
    <x v="4988"/>
    <n v="26.879999000000002"/>
    <n v="27.08"/>
    <n v="26.809999000000001"/>
    <x v="2728"/>
    <n v="19.345306000000001"/>
    <n v="88542500"/>
  </r>
  <r>
    <x v="4989"/>
    <n v="26.82"/>
    <n v="26.870000999999998"/>
    <n v="26.65"/>
    <x v="2881"/>
    <n v="19.294965999999999"/>
    <n v="68680100"/>
  </r>
  <r>
    <x v="4990"/>
    <n v="26.76"/>
    <n v="26.879999000000002"/>
    <n v="26.67"/>
    <x v="2540"/>
    <n v="19.316544"/>
    <n v="62960600"/>
  </r>
  <r>
    <x v="4991"/>
    <n v="26.870000999999998"/>
    <n v="26.91"/>
    <n v="26.709999"/>
    <x v="2829"/>
    <n v="19.223061000000001"/>
    <n v="75800900"/>
  </r>
  <r>
    <x v="4992"/>
    <n v="26.709999"/>
    <n v="26.780000999999999"/>
    <n v="26.42"/>
    <x v="2704"/>
    <n v="19.122371999999999"/>
    <n v="91276900"/>
  </r>
  <r>
    <x v="4993"/>
    <n v="26.52"/>
    <n v="26.67"/>
    <n v="26.440000999999999"/>
    <x v="2818"/>
    <n v="19.158335000000001"/>
    <n v="30689200"/>
  </r>
  <r>
    <x v="4994"/>
    <n v="26.68"/>
    <n v="26.85"/>
    <n v="26.450001"/>
    <x v="2433"/>
    <n v="19.028879"/>
    <n v="37819000"/>
  </r>
  <r>
    <x v="4995"/>
    <n v="26.51"/>
    <n v="26.66"/>
    <n v="26.35"/>
    <x v="2735"/>
    <n v="18.978535000000001"/>
    <n v="35444400"/>
  </r>
  <r>
    <x v="4996"/>
    <n v="26.41"/>
    <n v="26.5"/>
    <n v="26.26"/>
    <x v="2830"/>
    <n v="18.892230999999999"/>
    <n v="34495500"/>
  </r>
  <r>
    <x v="4997"/>
    <n v="26.15"/>
    <n v="26.309999000000001"/>
    <n v="26.1"/>
    <x v="2637"/>
    <n v="18.805942999999999"/>
    <n v="49044600"/>
  </r>
  <r>
    <x v="4998"/>
    <n v="26.25"/>
    <n v="27"/>
    <n v="26.1"/>
    <x v="2825"/>
    <n v="19.302156"/>
    <n v="79973000"/>
  </r>
  <r>
    <x v="4999"/>
    <n v="26.77"/>
    <n v="27.08"/>
    <n v="26.77"/>
    <x v="2821"/>
    <n v="19.395648999999999"/>
    <n v="57975600"/>
  </r>
  <r>
    <x v="5000"/>
    <n v="26.959999"/>
    <n v="27.129999000000002"/>
    <n v="26.91"/>
    <x v="2731"/>
    <n v="19.410034"/>
    <n v="48245500"/>
  </r>
  <r>
    <x v="5001"/>
    <n v="26.889999"/>
    <n v="27"/>
    <n v="26.49"/>
    <x v="2536"/>
    <n v="19.352502999999999"/>
    <n v="100963000"/>
  </r>
  <r>
    <x v="5002"/>
    <n v="26.93"/>
    <n v="27.07"/>
    <n v="26.76"/>
    <x v="2540"/>
    <n v="19.316544"/>
    <n v="55625000"/>
  </r>
  <r>
    <x v="5003"/>
    <n v="26.65"/>
    <n v="27.02"/>
    <n v="26.59"/>
    <x v="2132"/>
    <n v="19.417227"/>
    <n v="64921900"/>
  </r>
  <r>
    <x v="5004"/>
    <n v="27.01"/>
    <n v="27.389999"/>
    <n v="26.9"/>
    <x v="2725"/>
    <n v="19.625782000000001"/>
    <n v="70120700"/>
  </r>
  <r>
    <x v="5005"/>
    <n v="27.25"/>
    <n v="27.26"/>
    <n v="26.969999000000001"/>
    <x v="2788"/>
    <n v="19.517911999999999"/>
    <n v="45994800"/>
  </r>
  <r>
    <x v="5006"/>
    <n v="27.030000999999999"/>
    <n v="27.25"/>
    <n v="27.01"/>
    <x v="2796"/>
    <n v="19.553861999999999"/>
    <n v="41418000"/>
  </r>
  <r>
    <x v="5007"/>
    <n v="26.9"/>
    <n v="27.190000999999999"/>
    <n v="26.9"/>
    <x v="2731"/>
    <n v="19.410034"/>
    <n v="58566600"/>
  </r>
  <r>
    <x v="5008"/>
    <n v="26.74"/>
    <n v="26.98"/>
    <n v="26.700001"/>
    <x v="2881"/>
    <n v="19.294965999999999"/>
    <n v="52376200"/>
  </r>
  <r>
    <x v="5009"/>
    <n v="26.870000999999998"/>
    <n v="27.24"/>
    <n v="26.85"/>
    <x v="2729"/>
    <n v="19.431604"/>
    <n v="60367600"/>
  </r>
  <r>
    <x v="5010"/>
    <n v="27.01"/>
    <n v="27.01"/>
    <n v="26.26"/>
    <x v="2414"/>
    <n v="18.992923999999999"/>
    <n v="79165900"/>
  </r>
  <r>
    <x v="5011"/>
    <n v="26.41"/>
    <n v="26.530000999999999"/>
    <n v="26.299999"/>
    <x v="2736"/>
    <n v="18.949771999999999"/>
    <n v="47925600"/>
  </r>
  <r>
    <x v="5012"/>
    <n v="26.34"/>
    <n v="26.450001"/>
    <n v="26.219999000000001"/>
    <x v="2833"/>
    <n v="18.899435"/>
    <n v="63040700"/>
  </r>
  <r>
    <x v="5013"/>
    <n v="26.41"/>
    <n v="26.57"/>
    <n v="26.23"/>
    <x v="2882"/>
    <n v="18.985724999999999"/>
    <n v="59072100"/>
  </r>
  <r>
    <x v="5014"/>
    <n v="26.559999000000001"/>
    <n v="26.719999000000001"/>
    <n v="26.309999000000001"/>
    <x v="1666"/>
    <n v="19.057649999999999"/>
    <n v="69509300"/>
  </r>
  <r>
    <x v="5015"/>
    <n v="27.23"/>
    <n v="27.950001"/>
    <n v="27.190000999999999"/>
    <x v="2883"/>
    <n v="19.985354999999998"/>
    <n v="134520700"/>
  </r>
  <r>
    <x v="5016"/>
    <n v="27.82"/>
    <n v="28.18"/>
    <n v="27.780000999999999"/>
    <x v="2884"/>
    <n v="20.136375000000001"/>
    <n v="103999200"/>
  </r>
  <r>
    <x v="5017"/>
    <n v="27.91"/>
    <n v="28.379999000000002"/>
    <n v="27.870000999999998"/>
    <x v="2374"/>
    <n v="20.244253"/>
    <n v="94841300"/>
  </r>
  <r>
    <x v="5018"/>
    <n v="27.959999"/>
    <n v="28.07"/>
    <n v="27.76"/>
    <x v="2885"/>
    <n v="20.165151999999999"/>
    <n v="68448800"/>
  </r>
  <r>
    <x v="5019"/>
    <n v="27.969999000000001"/>
    <n v="27.99"/>
    <n v="27.549999"/>
    <x v="2513"/>
    <n v="19.906255999999999"/>
    <n v="55073400"/>
  </r>
  <r>
    <x v="5020"/>
    <n v="27.48"/>
    <n v="27.700001"/>
    <n v="27.34"/>
    <x v="2717"/>
    <n v="19.805575999999999"/>
    <n v="75022700"/>
  </r>
  <r>
    <x v="5021"/>
    <n v="27.51"/>
    <n v="27.540001"/>
    <n v="27.09"/>
    <x v="2816"/>
    <n v="19.539484000000002"/>
    <n v="60170500"/>
  </r>
  <r>
    <x v="5022"/>
    <n v="26.950001"/>
    <n v="27.15"/>
    <n v="26.809999000000001"/>
    <x v="2886"/>
    <n v="19.374075000000001"/>
    <n v="72159500"/>
  </r>
  <r>
    <x v="5023"/>
    <n v="27.01"/>
    <n v="27.08"/>
    <n v="26.709999"/>
    <x v="2536"/>
    <n v="19.352502999999999"/>
    <n v="51795200"/>
  </r>
  <r>
    <x v="5024"/>
    <n v="26.959999"/>
    <n v="27.030000999999999"/>
    <n v="26.65"/>
    <x v="2876"/>
    <n v="19.172716000000001"/>
    <n v="52861700"/>
  </r>
  <r>
    <x v="5025"/>
    <n v="26.620000999999998"/>
    <n v="26.889999"/>
    <n v="26.51"/>
    <x v="2645"/>
    <n v="19.194292000000001"/>
    <n v="52127000"/>
  </r>
  <r>
    <x v="5026"/>
    <n v="26.629999000000002"/>
    <n v="26.700001"/>
    <n v="26.34"/>
    <x v="2735"/>
    <n v="18.978535000000001"/>
    <n v="46707000"/>
  </r>
  <r>
    <x v="5027"/>
    <n v="26.41"/>
    <n v="26.68"/>
    <n v="26.35"/>
    <x v="2705"/>
    <n v="19.165520000000001"/>
    <n v="58432900"/>
  </r>
  <r>
    <x v="5028"/>
    <n v="26.6"/>
    <n v="26.93"/>
    <n v="26.5"/>
    <x v="2638"/>
    <n v="19.396431"/>
    <n v="62808900"/>
  </r>
  <r>
    <x v="5029"/>
    <n v="26.85"/>
    <n v="26.9"/>
    <n v="26.57"/>
    <x v="2819"/>
    <n v="19.345922000000002"/>
    <n v="48868500"/>
  </r>
  <r>
    <x v="5030"/>
    <n v="26.67"/>
    <n v="26.809999000000001"/>
    <n v="26.559999000000001"/>
    <x v="2733"/>
    <n v="19.266541"/>
    <n v="41513200"/>
  </r>
  <r>
    <x v="5031"/>
    <n v="26.719999000000001"/>
    <n v="26.719999000000001"/>
    <n v="26.34"/>
    <x v="2887"/>
    <n v="19.151083"/>
    <n v="50216100"/>
  </r>
  <r>
    <x v="5032"/>
    <n v="26.530000999999999"/>
    <n v="26.860001"/>
    <n v="26.469999000000001"/>
    <x v="2824"/>
    <n v="19.280981000000001"/>
    <n v="43043100"/>
  </r>
  <r>
    <x v="5033"/>
    <n v="26.73"/>
    <n v="26.889999"/>
    <n v="26.540001"/>
    <x v="2876"/>
    <n v="19.237679"/>
    <n v="47359100"/>
  </r>
  <r>
    <x v="5034"/>
    <n v="26.59"/>
    <n v="26.74"/>
    <n v="26.52"/>
    <x v="2404"/>
    <n v="19.216028000000001"/>
    <n v="44753800"/>
  </r>
  <r>
    <x v="5035"/>
    <n v="26.75"/>
    <n v="27.26"/>
    <n v="26.67"/>
    <x v="2422"/>
    <n v="19.519102"/>
    <n v="51301500"/>
  </r>
  <r>
    <x v="5036"/>
    <n v="26.950001"/>
    <n v="27.299999"/>
    <n v="26.870000999999998"/>
    <x v="2866"/>
    <n v="19.389215"/>
    <n v="65036100"/>
  </r>
  <r>
    <x v="5037"/>
    <n v="26.98"/>
    <n v="27.200001"/>
    <n v="26.950001"/>
    <x v="2788"/>
    <n v="19.584049"/>
    <n v="53061200"/>
  </r>
  <r>
    <x v="5038"/>
    <n v="27.02"/>
    <n v="27.1"/>
    <n v="26.9"/>
    <x v="2821"/>
    <n v="19.461373999999999"/>
    <n v="41850300"/>
  </r>
  <r>
    <x v="5039"/>
    <n v="26.809999000000001"/>
    <n v="27.16"/>
    <n v="26.74"/>
    <x v="2511"/>
    <n v="19.43252"/>
    <n v="45218800"/>
  </r>
  <r>
    <x v="5040"/>
    <n v="26.92"/>
    <n v="27.15"/>
    <n v="26.83"/>
    <x v="2536"/>
    <n v="19.418074000000001"/>
    <n v="53054100"/>
  </r>
  <r>
    <x v="5041"/>
    <n v="26.9"/>
    <n v="27.1"/>
    <n v="26.809999000000001"/>
    <x v="2706"/>
    <n v="19.526326999999998"/>
    <n v="51613900"/>
  </r>
  <r>
    <x v="5042"/>
    <n v="26.99"/>
    <n v="27.5"/>
    <n v="26.969999000000001"/>
    <x v="2795"/>
    <n v="19.663419999999999"/>
    <n v="57547400"/>
  </r>
  <r>
    <x v="5043"/>
    <n v="27.27"/>
    <n v="27.42"/>
    <n v="27"/>
    <x v="2132"/>
    <n v="19.483027"/>
    <n v="45360700"/>
  </r>
  <r>
    <x v="5044"/>
    <n v="27.059999000000001"/>
    <n v="27.219999000000001"/>
    <n v="26.879999000000002"/>
    <x v="2816"/>
    <n v="19.605692000000001"/>
    <n v="41297200"/>
  </r>
  <r>
    <x v="5045"/>
    <n v="27.18"/>
    <n v="27.290001"/>
    <n v="26.940000999999999"/>
    <x v="2417"/>
    <n v="19.562397000000001"/>
    <n v="40342600"/>
  </r>
  <r>
    <x v="5046"/>
    <n v="27.040001"/>
    <n v="27.379999000000002"/>
    <n v="26.99"/>
    <x v="2820"/>
    <n v="19.648985"/>
    <n v="39821800"/>
  </r>
  <r>
    <x v="5047"/>
    <n v="27.200001"/>
    <n v="27.450001"/>
    <n v="27.01"/>
    <x v="2708"/>
    <n v="19.742795999999998"/>
    <n v="57152000"/>
  </r>
  <r>
    <x v="5048"/>
    <n v="27.34"/>
    <n v="27.48"/>
    <n v="27.219999000000001"/>
    <x v="2643"/>
    <n v="19.677852999999999"/>
    <n v="73793700"/>
  </r>
  <r>
    <x v="5049"/>
    <n v="27.35"/>
    <n v="27.66"/>
    <n v="27.27"/>
    <x v="1691"/>
    <n v="19.843817000000001"/>
    <n v="120615000"/>
  </r>
  <r>
    <x v="5050"/>
    <n v="27.700001"/>
    <n v="27.99"/>
    <n v="27.67"/>
    <x v="2773"/>
    <n v="20.125238"/>
    <n v="67094100"/>
  </r>
  <r>
    <x v="5051"/>
    <n v="27.74"/>
    <n v="28.219999000000001"/>
    <n v="27.68"/>
    <x v="2806"/>
    <n v="20.017002000000002"/>
    <n v="73199600"/>
  </r>
  <r>
    <x v="5052"/>
    <n v="27.08"/>
    <n v="27.5"/>
    <n v="26.799999"/>
    <x v="2709"/>
    <n v="19.591260999999999"/>
    <n v="145696100"/>
  </r>
  <r>
    <x v="5053"/>
    <n v="27.08"/>
    <n v="27.1"/>
    <n v="26.66"/>
    <x v="2822"/>
    <n v="19.374783000000001"/>
    <n v="73682900"/>
  </r>
  <r>
    <x v="5054"/>
    <n v="26.709999"/>
    <n v="27.209999"/>
    <n v="26.620000999999998"/>
    <x v="2726"/>
    <n v="19.490244000000001"/>
    <n v="69157600"/>
  </r>
  <r>
    <x v="5055"/>
    <n v="27.01"/>
    <n v="27.299999"/>
    <n v="27"/>
    <x v="2726"/>
    <n v="19.490244000000001"/>
    <n v="59908600"/>
  </r>
  <r>
    <x v="5056"/>
    <n v="27.01"/>
    <n v="27.209999"/>
    <n v="26.809999000000001"/>
    <x v="2728"/>
    <n v="19.410864"/>
    <n v="58520500"/>
  </r>
  <r>
    <x v="5057"/>
    <n v="26.950001"/>
    <n v="27.200001"/>
    <n v="26.92"/>
    <x v="2729"/>
    <n v="19.497454000000001"/>
    <n v="53150300"/>
  </r>
  <r>
    <x v="5058"/>
    <n v="27.030000999999999"/>
    <n v="27.389999"/>
    <n v="27"/>
    <x v="2820"/>
    <n v="19.648985"/>
    <n v="54612000"/>
  </r>
  <r>
    <x v="5059"/>
    <n v="27.299999"/>
    <n v="27.540001"/>
    <n v="27.209999"/>
    <x v="2710"/>
    <n v="19.634550000000001"/>
    <n v="62190500"/>
  </r>
  <r>
    <x v="5060"/>
    <n v="27.67"/>
    <n v="27.73"/>
    <n v="27.440000999999999"/>
    <x v="2888"/>
    <n v="19.887111999999998"/>
    <n v="57605300"/>
  </r>
  <r>
    <x v="5061"/>
    <n v="27.6"/>
    <n v="27.799999"/>
    <n v="27.469999000000001"/>
    <x v="2771"/>
    <n v="19.944842999999999"/>
    <n v="45470000"/>
  </r>
  <r>
    <x v="5062"/>
    <n v="27.879999000000002"/>
    <n v="27.940000999999999"/>
    <n v="27.639999"/>
    <x v="2806"/>
    <n v="20.017002000000002"/>
    <n v="41539300"/>
  </r>
  <r>
    <x v="5063"/>
    <n v="27.66"/>
    <n v="27.719999000000001"/>
    <n v="27.370000999999998"/>
    <x v="2888"/>
    <n v="19.887111999999998"/>
    <n v="51885500"/>
  </r>
  <r>
    <x v="5064"/>
    <n v="27.610001"/>
    <n v="27.719999000000001"/>
    <n v="27.23"/>
    <x v="2795"/>
    <n v="19.663419999999999"/>
    <n v="47249400"/>
  </r>
  <r>
    <x v="5065"/>
    <n v="27.23"/>
    <n v="27.440000999999999"/>
    <n v="27.200001"/>
    <x v="2725"/>
    <n v="19.692287"/>
    <n v="39432000"/>
  </r>
  <r>
    <x v="5066"/>
    <n v="27.290001"/>
    <n v="27.32"/>
    <n v="27"/>
    <x v="2864"/>
    <n v="19.576836"/>
    <n v="42953400"/>
  </r>
  <r>
    <x v="5067"/>
    <n v="27.1"/>
    <n v="27.200001"/>
    <n v="26.969999000000001"/>
    <x v="2691"/>
    <n v="19.627344000000001"/>
    <n v="32183000"/>
  </r>
  <r>
    <x v="5068"/>
    <n v="27.08"/>
    <n v="27.200001"/>
    <n v="27"/>
    <x v="2817"/>
    <n v="19.533529000000001"/>
    <n v="28160000"/>
  </r>
  <r>
    <x v="5069"/>
    <n v="27.030000999999999"/>
    <n v="27.049999"/>
    <n v="26.73"/>
    <x v="2825"/>
    <n v="19.367564999999999"/>
    <n v="35796200"/>
  </r>
  <r>
    <x v="5070"/>
    <n v="26.940000999999999"/>
    <n v="27.5"/>
    <n v="26.82"/>
    <x v="2754"/>
    <n v="19.641767999999999"/>
    <n v="56272700"/>
  </r>
  <r>
    <x v="5071"/>
    <n v="27.110001"/>
    <n v="27.190000999999999"/>
    <n v="26.959999"/>
    <x v="2867"/>
    <n v="19.504673"/>
    <n v="45111100"/>
  </r>
  <r>
    <x v="5072"/>
    <n v="27.049999"/>
    <n v="27.190000999999999"/>
    <n v="26.700001"/>
    <x v="2867"/>
    <n v="19.504673"/>
    <n v="45648300"/>
  </r>
  <r>
    <x v="5073"/>
    <n v="27.049999"/>
    <n v="27.389999"/>
    <n v="27"/>
    <x v="2709"/>
    <n v="19.591260999999999"/>
    <n v="58528000"/>
  </r>
  <r>
    <x v="5074"/>
    <n v="27.07"/>
    <n v="27.25"/>
    <n v="26.98"/>
    <x v="2417"/>
    <n v="19.562397000000001"/>
    <n v="42318400"/>
  </r>
  <r>
    <x v="5075"/>
    <n v="27.09"/>
    <n v="27.209999"/>
    <n v="27.02"/>
    <x v="2417"/>
    <n v="19.562397000000001"/>
    <n v="49222500"/>
  </r>
  <r>
    <x v="5076"/>
    <n v="27.08"/>
    <n v="27.23"/>
    <n v="27"/>
    <x v="2889"/>
    <n v="19.555181999999999"/>
    <n v="39190000"/>
  </r>
  <r>
    <x v="5077"/>
    <n v="26.969999000000001"/>
    <n v="27.629999000000002"/>
    <n v="26.940000999999999"/>
    <x v="2795"/>
    <n v="19.663419999999999"/>
    <n v="96509600"/>
  </r>
  <r>
    <x v="5078"/>
    <n v="24.23"/>
    <n v="24.5"/>
    <n v="24"/>
    <x v="2567"/>
    <n v="17.426476999999998"/>
    <n v="591052200"/>
  </r>
  <r>
    <x v="5079"/>
    <n v="24.32"/>
    <n v="25"/>
    <n v="24.09"/>
    <x v="2473"/>
    <n v="17.527504"/>
    <n v="174800900"/>
  </r>
  <r>
    <x v="5080"/>
    <n v="24.49"/>
    <n v="25"/>
    <n v="23.9"/>
    <x v="2890"/>
    <n v="17.32546"/>
    <n v="190533500"/>
  </r>
  <r>
    <x v="5081"/>
    <n v="23.99"/>
    <n v="24.02"/>
    <n v="23.15"/>
    <x v="2891"/>
    <n v="16.719321999999998"/>
    <n v="211527100"/>
  </r>
  <r>
    <x v="5082"/>
    <n v="23.35"/>
    <n v="23.67"/>
    <n v="23.139999"/>
    <x v="2579"/>
    <n v="16.914149999999999"/>
    <n v="171257400"/>
  </r>
  <r>
    <x v="5083"/>
    <n v="23.66"/>
    <n v="23.950001"/>
    <n v="23.52"/>
    <x v="2892"/>
    <n v="17.173918"/>
    <n v="131604300"/>
  </r>
  <r>
    <x v="5084"/>
    <n v="23.85"/>
    <n v="25"/>
    <n v="23.51"/>
    <x v="2480"/>
    <n v="17.123415000000001"/>
    <n v="80693500"/>
  </r>
  <r>
    <x v="5085"/>
    <n v="23.75"/>
    <n v="24"/>
    <n v="23.49"/>
    <x v="2893"/>
    <n v="17.044036999999999"/>
    <n v="75345900"/>
  </r>
  <r>
    <x v="5086"/>
    <n v="23.67"/>
    <n v="23.790001"/>
    <n v="23.59"/>
    <x v="2894"/>
    <n v="17.152269"/>
    <n v="76563300"/>
  </r>
  <r>
    <x v="5087"/>
    <n v="23.709999"/>
    <n v="23.790001"/>
    <n v="23.15"/>
    <x v="2565"/>
    <n v="16.755398"/>
    <n v="92916700"/>
  </r>
  <r>
    <x v="5088"/>
    <n v="23.139999"/>
    <n v="23.370000999999998"/>
    <n v="23.049999"/>
    <x v="2891"/>
    <n v="16.719321999999998"/>
    <n v="83115900"/>
  </r>
  <r>
    <x v="5089"/>
    <n v="23.1"/>
    <n v="23.23"/>
    <n v="23.030000999999999"/>
    <x v="2895"/>
    <n v="16.770029000000001"/>
    <n v="67314800"/>
  </r>
  <r>
    <x v="5090"/>
    <n v="23.16"/>
    <n v="24"/>
    <n v="22.91"/>
    <x v="2896"/>
    <n v="16.668610000000001"/>
    <n v="82095100"/>
  </r>
  <r>
    <x v="5091"/>
    <n v="22.889999"/>
    <n v="23.08"/>
    <n v="22.73"/>
    <x v="2897"/>
    <n v="16.465778"/>
    <n v="98598300"/>
  </r>
  <r>
    <x v="5092"/>
    <n v="22.84"/>
    <n v="23.139999"/>
    <n v="22.76"/>
    <x v="2898"/>
    <n v="16.538221"/>
    <n v="95476400"/>
  </r>
  <r>
    <x v="5093"/>
    <n v="22.790001"/>
    <n v="22.9"/>
    <n v="22.52"/>
    <x v="2899"/>
    <n v="16.342621000000001"/>
    <n v="100071200"/>
  </r>
  <r>
    <x v="5094"/>
    <n v="22.48"/>
    <n v="23.02"/>
    <n v="22.450001"/>
    <x v="2900"/>
    <n v="16.574444"/>
    <n v="87322300"/>
  </r>
  <r>
    <x v="5095"/>
    <n v="23.110001"/>
    <n v="23.379999000000002"/>
    <n v="22.77"/>
    <x v="2901"/>
    <n v="16.509243000000001"/>
    <n v="79986300"/>
  </r>
  <r>
    <x v="5096"/>
    <n v="22.99"/>
    <n v="23.540001"/>
    <n v="22.98"/>
    <x v="2902"/>
    <n v="17.023572999999999"/>
    <n v="107356700"/>
  </r>
  <r>
    <x v="5097"/>
    <n v="23.57"/>
    <n v="23.92"/>
    <n v="23.540001"/>
    <x v="2903"/>
    <n v="17.197434999999999"/>
    <n v="83052700"/>
  </r>
  <r>
    <x v="5098"/>
    <n v="23.77"/>
    <n v="23.879999000000002"/>
    <n v="23.559999000000001"/>
    <x v="2904"/>
    <n v="17.182943000000002"/>
    <n v="46861600"/>
  </r>
  <r>
    <x v="5099"/>
    <n v="23.549999"/>
    <n v="23.76"/>
    <n v="23.139999"/>
    <x v="2895"/>
    <n v="16.770029000000001"/>
    <n v="52497500"/>
  </r>
  <r>
    <x v="5100"/>
    <n v="23.26"/>
    <n v="23.35"/>
    <n v="22.65"/>
    <x v="2905"/>
    <n v="16.407824000000002"/>
    <n v="120202000"/>
  </r>
  <r>
    <x v="5101"/>
    <n v="22.74"/>
    <n v="22.84"/>
    <n v="22.620000999999998"/>
    <x v="2482"/>
    <n v="16.530977"/>
    <n v="80230800"/>
  </r>
  <r>
    <x v="5102"/>
    <n v="22.870000999999998"/>
    <n v="22.99"/>
    <n v="22.67"/>
    <x v="2906"/>
    <n v="16.487511000000001"/>
    <n v="73935600"/>
  </r>
  <r>
    <x v="5103"/>
    <n v="22.719999000000001"/>
    <n v="22.73"/>
    <n v="22.49"/>
    <x v="2907"/>
    <n v="16.299164000000001"/>
    <n v="63914100"/>
  </r>
  <r>
    <x v="5104"/>
    <n v="22.549999"/>
    <n v="22.559999000000001"/>
    <n v="21.98"/>
    <x v="2908"/>
    <n v="16.031127999999999"/>
    <n v="126601300"/>
  </r>
  <r>
    <x v="5105"/>
    <n v="22.15"/>
    <n v="22.389999"/>
    <n v="22.01"/>
    <x v="2909"/>
    <n v="15.96594"/>
    <n v="73827500"/>
  </r>
  <r>
    <x v="5106"/>
    <n v="22.030000999999999"/>
    <n v="22.209999"/>
    <n v="21.969999000000001"/>
    <x v="2910"/>
    <n v="16.016643999999999"/>
    <n v="104126900"/>
  </r>
  <r>
    <x v="5107"/>
    <n v="22.15"/>
    <n v="22.190000999999999"/>
    <n v="21.889999"/>
    <x v="2911"/>
    <n v="15.879006"/>
    <n v="52573800"/>
  </r>
  <r>
    <x v="5108"/>
    <n v="21.959999"/>
    <n v="22.1"/>
    <n v="21.700001"/>
    <x v="2912"/>
    <n v="15.726875"/>
    <n v="74309700"/>
  </r>
  <r>
    <x v="5109"/>
    <n v="21.73"/>
    <n v="22.030000999999999"/>
    <n v="21.459999"/>
    <x v="2913"/>
    <n v="15.581999"/>
    <n v="113175300"/>
  </r>
  <r>
    <x v="5110"/>
    <n v="21.59"/>
    <n v="21.940000999999999"/>
    <n v="21.549999"/>
    <x v="2914"/>
    <n v="15.850033"/>
    <n v="86081500"/>
  </r>
  <r>
    <x v="5111"/>
    <n v="22.01"/>
    <n v="22.129999000000002"/>
    <n v="21.799999"/>
    <x v="2915"/>
    <n v="15.987669"/>
    <n v="121577300"/>
  </r>
  <r>
    <x v="5112"/>
    <n v="21.969999000000001"/>
    <n v="22.280000999999999"/>
    <n v="21.790001"/>
    <x v="2916"/>
    <n v="16.009398999999998"/>
    <n v="147506500"/>
  </r>
  <r>
    <x v="5113"/>
    <n v="22.139999"/>
    <n v="22.6"/>
    <n v="22.120000999999998"/>
    <x v="2917"/>
    <n v="16.335381999999999"/>
    <n v="129640900"/>
  </r>
  <r>
    <x v="5114"/>
    <n v="22.540001"/>
    <n v="22.76"/>
    <n v="22.5"/>
    <x v="2899"/>
    <n v="16.342621000000001"/>
    <n v="90598500"/>
  </r>
  <r>
    <x v="5115"/>
    <n v="22.610001"/>
    <n v="23.15"/>
    <n v="22.530000999999999"/>
    <x v="2918"/>
    <n v="16.719318000000001"/>
    <n v="91660300"/>
  </r>
  <r>
    <x v="5116"/>
    <n v="23.059999000000001"/>
    <n v="23.17"/>
    <n v="22.780000999999999"/>
    <x v="2900"/>
    <n v="16.574444"/>
    <n v="76590600"/>
  </r>
  <r>
    <x v="5117"/>
    <n v="22.85"/>
    <n v="22.870000999999998"/>
    <n v="22.5"/>
    <x v="2907"/>
    <n v="16.299164000000001"/>
    <n v="60532600"/>
  </r>
  <r>
    <x v="5118"/>
    <n v="22.65"/>
    <n v="22.889999"/>
    <n v="22.629999000000002"/>
    <x v="2482"/>
    <n v="16.530977"/>
    <n v="53644100"/>
  </r>
  <r>
    <x v="5119"/>
    <n v="22.889999"/>
    <n v="23.16"/>
    <n v="22.84"/>
    <x v="2919"/>
    <n v="16.559947999999999"/>
    <n v="84759100"/>
  </r>
  <r>
    <x v="5120"/>
    <n v="22.959999"/>
    <n v="23.25"/>
    <n v="22.91"/>
    <x v="2920"/>
    <n v="16.777270999999999"/>
    <n v="71906500"/>
  </r>
  <r>
    <x v="5121"/>
    <n v="23.32"/>
    <n v="23.629999000000002"/>
    <n v="23.219999000000001"/>
    <x v="2921"/>
    <n v="17.001830999999999"/>
    <n v="121395500"/>
  </r>
  <r>
    <x v="5122"/>
    <n v="23.540001"/>
    <n v="23.65"/>
    <n v="23.299999"/>
    <x v="2922"/>
    <n v="16.878689000000001"/>
    <n v="73048800"/>
  </r>
  <r>
    <x v="5123"/>
    <n v="23.530000999999999"/>
    <n v="23.719999000000001"/>
    <n v="23.450001"/>
    <x v="2576"/>
    <n v="17.168451000000001"/>
    <n v="25711400"/>
  </r>
  <r>
    <x v="5124"/>
    <n v="23.48"/>
    <n v="23.52"/>
    <n v="23.299999"/>
    <x v="2923"/>
    <n v="16.914905999999998"/>
    <n v="53093500"/>
  </r>
  <r>
    <x v="5125"/>
    <n v="23.450001"/>
    <n v="23.610001"/>
    <n v="23.42"/>
    <x v="2561"/>
    <n v="17.009083"/>
    <n v="44775200"/>
  </r>
  <r>
    <x v="5126"/>
    <n v="23.389999"/>
    <n v="23.549999"/>
    <n v="23.299999"/>
    <x v="2922"/>
    <n v="16.878689000000001"/>
    <n v="63168800"/>
  </r>
  <r>
    <x v="5127"/>
    <n v="23.43"/>
    <n v="23.66"/>
    <n v="23.379999000000002"/>
    <x v="2902"/>
    <n v="17.023572999999999"/>
    <n v="50565100"/>
  </r>
  <r>
    <x v="5128"/>
    <n v="23.370000999999998"/>
    <n v="23.370000999999998"/>
    <n v="22.74"/>
    <x v="2484"/>
    <n v="16.733812"/>
    <n v="88676300"/>
  </r>
  <r>
    <x v="5129"/>
    <n v="22.790001"/>
    <n v="22.879999000000002"/>
    <n v="22.620000999999998"/>
    <x v="2924"/>
    <n v="16.400577999999999"/>
    <n v="77379300"/>
  </r>
  <r>
    <x v="5130"/>
    <n v="22.370000999999998"/>
    <n v="22.610001"/>
    <n v="22.25"/>
    <x v="2925"/>
    <n v="16.125302999999999"/>
    <n v="73099500"/>
  </r>
  <r>
    <x v="5131"/>
    <n v="22.280000999999999"/>
    <n v="22.549999"/>
    <n v="22.23"/>
    <x v="2926"/>
    <n v="16.147036"/>
    <n v="67499400"/>
  </r>
  <r>
    <x v="5132"/>
    <n v="22.290001"/>
    <n v="22.610001"/>
    <n v="22.26"/>
    <x v="2927"/>
    <n v="16.284678"/>
    <n v="37053500"/>
  </r>
  <r>
    <x v="5133"/>
    <n v="22.59"/>
    <n v="22.76"/>
    <n v="22.48"/>
    <x v="2928"/>
    <n v="16.473016999999999"/>
    <n v="65047300"/>
  </r>
  <r>
    <x v="5134"/>
    <n v="22.82"/>
    <n v="23.459999"/>
    <n v="22.719999000000001"/>
    <x v="2929"/>
    <n v="16.951129999999999"/>
    <n v="82188200"/>
  </r>
  <r>
    <x v="5135"/>
    <n v="23.440000999999999"/>
    <n v="23.450001"/>
    <n v="22.780000999999999"/>
    <x v="2930"/>
    <n v="16.552710000000001"/>
    <n v="76605200"/>
  </r>
  <r>
    <x v="5136"/>
    <n v="24.08"/>
    <n v="24.15"/>
    <n v="23"/>
    <x v="2931"/>
    <n v="17.291599000000001"/>
    <n v="175483800"/>
  </r>
  <r>
    <x v="5137"/>
    <n v="24.01"/>
    <n v="24.110001"/>
    <n v="23.790001"/>
    <x v="2932"/>
    <n v="17.385774999999999"/>
    <n v="59586700"/>
  </r>
  <r>
    <x v="5138"/>
    <n v="24"/>
    <n v="24.290001"/>
    <n v="23.9"/>
    <x v="2617"/>
    <n v="17.545141000000001"/>
    <n v="60075800"/>
  </r>
  <r>
    <x v="5139"/>
    <n v="24.120000999999998"/>
    <n v="24.530000999999999"/>
    <n v="24.1"/>
    <x v="2933"/>
    <n v="17.653798999999999"/>
    <n v="54942100"/>
  </r>
  <r>
    <x v="5140"/>
    <n v="24.58"/>
    <n v="24.6"/>
    <n v="23.77"/>
    <x v="2931"/>
    <n v="17.291599000000001"/>
    <n v="85386800"/>
  </r>
  <r>
    <x v="5141"/>
    <n v="24.08"/>
    <n v="24.280000999999999"/>
    <n v="24.059999000000001"/>
    <x v="2934"/>
    <n v="17.566872"/>
    <n v="51705800"/>
  </r>
  <r>
    <x v="5142"/>
    <n v="24.07"/>
    <n v="24.42"/>
    <n v="24.01"/>
    <x v="2454"/>
    <n v="17.429245000000002"/>
    <n v="40254400"/>
  </r>
  <r>
    <x v="5143"/>
    <n v="24.02"/>
    <n v="24.200001"/>
    <n v="23.85"/>
    <x v="2447"/>
    <n v="17.378532"/>
    <n v="49168700"/>
  </r>
  <r>
    <x v="5144"/>
    <n v="24.120000999999998"/>
    <n v="24.4"/>
    <n v="24.030000999999999"/>
    <x v="2874"/>
    <n v="17.603093999999999"/>
    <n v="46462000"/>
  </r>
  <r>
    <x v="5145"/>
    <n v="24.190000999999999"/>
    <n v="24.48"/>
    <n v="24.15"/>
    <x v="2592"/>
    <n v="17.537894999999999"/>
    <n v="43155300"/>
  </r>
  <r>
    <x v="5146"/>
    <n v="24.4"/>
    <n v="24.49"/>
    <n v="24.15"/>
    <x v="2473"/>
    <n v="17.595849999999999"/>
    <n v="45690400"/>
  </r>
  <r>
    <x v="5147"/>
    <n v="24.280000999999999"/>
    <n v="24.48"/>
    <n v="24.190000999999999"/>
    <x v="2617"/>
    <n v="17.545141000000001"/>
    <n v="36862400"/>
  </r>
  <r>
    <x v="5148"/>
    <n v="24.389999"/>
    <n v="24.52"/>
    <n v="24.200001"/>
    <x v="2935"/>
    <n v="17.632076000000001"/>
    <n v="58171300"/>
  </r>
  <r>
    <x v="5149"/>
    <n v="24.49"/>
    <n v="24.639999"/>
    <n v="24.34"/>
    <x v="2936"/>
    <n v="17.704509999999999"/>
    <n v="44405700"/>
  </r>
  <r>
    <x v="5150"/>
    <n v="24.370000999999998"/>
    <n v="24.6"/>
    <n v="24.34"/>
    <x v="2849"/>
    <n v="17.719004000000002"/>
    <n v="31753400"/>
  </r>
  <r>
    <x v="5151"/>
    <n v="24.43"/>
    <n v="24.450001"/>
    <n v="24.200001"/>
    <x v="2937"/>
    <n v="17.69726"/>
    <n v="30255500"/>
  </r>
  <r>
    <x v="5152"/>
    <n v="24.52"/>
    <n v="24.6"/>
    <n v="24.35"/>
    <x v="2569"/>
    <n v="17.769714"/>
    <n v="47831900"/>
  </r>
  <r>
    <x v="5153"/>
    <n v="24.549999"/>
    <n v="24.65"/>
    <n v="24.440000999999999"/>
    <x v="2938"/>
    <n v="17.900580999999999"/>
    <n v="48994500"/>
  </r>
  <r>
    <x v="5154"/>
    <n v="24.610001"/>
    <n v="24.73"/>
    <n v="24.469999000000001"/>
    <x v="2859"/>
    <n v="17.958749999999998"/>
    <n v="52373600"/>
  </r>
  <r>
    <x v="5155"/>
    <n v="24.700001"/>
    <n v="24.75"/>
    <n v="24.610001"/>
    <x v="2859"/>
    <n v="17.958749999999998"/>
    <n v="45674800"/>
  </r>
  <r>
    <x v="5156"/>
    <n v="25.049999"/>
    <n v="25.799999"/>
    <n v="24.98"/>
    <x v="2614"/>
    <n v="18.751256999999999"/>
    <n v="128414800"/>
  </r>
  <r>
    <x v="5157"/>
    <n v="25.66"/>
    <n v="26.129999000000002"/>
    <n v="25.559999000000001"/>
    <x v="2387"/>
    <n v="18.991194"/>
    <n v="88398300"/>
  </r>
  <r>
    <x v="5158"/>
    <n v="26.01"/>
    <n v="26.25"/>
    <n v="25.620000999999998"/>
    <x v="2613"/>
    <n v="18.627659000000001"/>
    <n v="89312400"/>
  </r>
  <r>
    <x v="5159"/>
    <n v="25.65"/>
    <n v="25.950001"/>
    <n v="25.52"/>
    <x v="2703"/>
    <n v="18.664013000000001"/>
    <n v="44648500"/>
  </r>
  <r>
    <x v="5160"/>
    <n v="25.82"/>
    <n v="25.860001"/>
    <n v="25.5"/>
    <x v="2605"/>
    <n v="18.714905000000002"/>
    <n v="35933300"/>
  </r>
  <r>
    <x v="5161"/>
    <n v="25.709999"/>
    <n v="26"/>
    <n v="25.690000999999999"/>
    <x v="2539"/>
    <n v="18.794888"/>
    <n v="33115900"/>
  </r>
  <r>
    <x v="5162"/>
    <n v="25.84"/>
    <n v="26"/>
    <n v="25.690000999999999"/>
    <x v="2412"/>
    <n v="18.867591999999998"/>
    <n v="34190900"/>
  </r>
  <r>
    <x v="5163"/>
    <n v="25.92"/>
    <n v="25.98"/>
    <n v="25.629999000000002"/>
    <x v="2702"/>
    <n v="18.787613"/>
    <n v="42711200"/>
  </r>
  <r>
    <x v="5164"/>
    <n v="25.85"/>
    <n v="25.889999"/>
    <n v="25.639999"/>
    <x v="2606"/>
    <n v="18.758533"/>
    <n v="30283100"/>
  </r>
  <r>
    <x v="5165"/>
    <n v="25.870000999999998"/>
    <n v="25.98"/>
    <n v="25.68"/>
    <x v="2633"/>
    <n v="18.685831"/>
    <n v="26380500"/>
  </r>
  <r>
    <x v="5166"/>
    <n v="25.889999"/>
    <n v="25.969999000000001"/>
    <n v="25.639999"/>
    <x v="2702"/>
    <n v="18.787613"/>
    <n v="31594600"/>
  </r>
  <r>
    <x v="5167"/>
    <n v="25.690000999999999"/>
    <n v="25.959999"/>
    <n v="25.559999000000001"/>
    <x v="2656"/>
    <n v="18.62039"/>
    <n v="44222400"/>
  </r>
  <r>
    <x v="5168"/>
    <n v="25.51"/>
    <n v="25.719999000000001"/>
    <n v="25.51"/>
    <x v="2656"/>
    <n v="18.62039"/>
    <n v="50160400"/>
  </r>
  <r>
    <x v="5169"/>
    <n v="25.48"/>
    <n v="25.700001"/>
    <n v="25.389999"/>
    <x v="2838"/>
    <n v="18.489522999999998"/>
    <n v="51266900"/>
  </r>
  <r>
    <x v="5170"/>
    <n v="25.530000999999999"/>
    <n v="25.790001"/>
    <n v="25.459999"/>
    <x v="2657"/>
    <n v="18.613112999999998"/>
    <n v="36866800"/>
  </r>
  <r>
    <x v="5171"/>
    <n v="25.43"/>
    <n v="25.950001"/>
    <n v="25.42"/>
    <x v="2939"/>
    <n v="18.838515999999998"/>
    <n v="55608200"/>
  </r>
  <r>
    <x v="5172"/>
    <n v="25.9"/>
    <n v="25.98"/>
    <n v="25.719999000000001"/>
    <x v="2435"/>
    <n v="18.853045999999999"/>
    <n v="52248800"/>
  </r>
  <r>
    <x v="5173"/>
    <n v="25.82"/>
    <n v="26.1"/>
    <n v="25.82"/>
    <x v="2694"/>
    <n v="18.889408"/>
    <n v="37706700"/>
  </r>
  <r>
    <x v="5174"/>
    <n v="25.99"/>
    <n v="26.5"/>
    <n v="25.98"/>
    <x v="2429"/>
    <n v="19.143882999999999"/>
    <n v="74324500"/>
  </r>
  <r>
    <x v="5175"/>
    <n v="26.58"/>
    <n v="26.940000999999999"/>
    <n v="26.49"/>
    <x v="2822"/>
    <n v="19.521965000000002"/>
    <n v="126057700"/>
  </r>
  <r>
    <x v="5176"/>
    <n v="26.74"/>
    <n v="27.040001"/>
    <n v="26.67"/>
    <x v="2940"/>
    <n v="19.478335999999999"/>
    <n v="49135000"/>
  </r>
  <r>
    <x v="5177"/>
    <n v="26.74"/>
    <n v="26.940000999999999"/>
    <n v="26.719999000000001"/>
    <x v="2540"/>
    <n v="19.529228"/>
    <n v="43039100"/>
  </r>
  <r>
    <x v="5178"/>
    <n v="27.01"/>
    <n v="27.23"/>
    <n v="26.99"/>
    <x v="2421"/>
    <n v="19.761890000000001"/>
    <n v="71676400"/>
  </r>
  <r>
    <x v="5179"/>
    <n v="27.24"/>
    <n v="27.25"/>
    <n v="26.85"/>
    <x v="2728"/>
    <n v="19.558311"/>
    <n v="58495100"/>
  </r>
  <r>
    <x v="5180"/>
    <n v="26.83"/>
    <n v="26.85"/>
    <n v="26.48"/>
    <x v="2876"/>
    <n v="19.383818000000002"/>
    <n v="47712500"/>
  </r>
  <r>
    <x v="5181"/>
    <n v="26.809999000000001"/>
    <n v="27.190000999999999"/>
    <n v="26.790001"/>
    <x v="2730"/>
    <n v="19.594667000000001"/>
    <n v="67903900"/>
  </r>
  <r>
    <x v="5182"/>
    <n v="26.91"/>
    <n v="27.32"/>
    <n v="26.879999000000002"/>
    <x v="2691"/>
    <n v="19.776430000000001"/>
    <n v="54766500"/>
  </r>
  <r>
    <x v="5183"/>
    <n v="27.18"/>
    <n v="27.469999000000001"/>
    <n v="27.120000999999998"/>
    <x v="2397"/>
    <n v="19.950932999999999"/>
    <n v="66233900"/>
  </r>
  <r>
    <x v="5184"/>
    <n v="27.469999000000001"/>
    <n v="27.52"/>
    <n v="27.26"/>
    <x v="2642"/>
    <n v="19.921849999999999"/>
    <n v="44179700"/>
  </r>
  <r>
    <x v="5185"/>
    <n v="27.35"/>
    <n v="27.42"/>
    <n v="27.209999"/>
    <x v="2428"/>
    <n v="19.885494000000001"/>
    <n v="34283500"/>
  </r>
  <r>
    <x v="5186"/>
    <n v="27.32"/>
    <n v="27.49"/>
    <n v="27.15"/>
    <x v="2708"/>
    <n v="19.892765000000001"/>
    <n v="52908100"/>
  </r>
  <r>
    <x v="5187"/>
    <n v="27.370000999999998"/>
    <n v="27.48"/>
    <n v="27.209999"/>
    <x v="2711"/>
    <n v="19.900036"/>
    <n v="39386200"/>
  </r>
  <r>
    <x v="5188"/>
    <n v="27.389999"/>
    <n v="27.959999"/>
    <n v="27.370000999999998"/>
    <x v="2941"/>
    <n v="20.31447"/>
    <n v="82191200"/>
  </r>
  <r>
    <x v="5189"/>
    <n v="27.92"/>
    <n v="28.110001"/>
    <n v="27.780000999999999"/>
    <x v="2877"/>
    <n v="20.299927"/>
    <n v="81967200"/>
  </r>
  <r>
    <x v="5190"/>
    <n v="27.76"/>
    <n v="28"/>
    <n v="27.65"/>
    <x v="2399"/>
    <n v="20.263590000000001"/>
    <n v="36452200"/>
  </r>
  <r>
    <x v="5191"/>
    <n v="27.799999"/>
    <n v="27.93"/>
    <n v="27.620000999999998"/>
    <x v="2789"/>
    <n v="20.154509999999998"/>
    <n v="33366300"/>
  </r>
  <r>
    <x v="5192"/>
    <n v="27.690000999999999"/>
    <n v="27.75"/>
    <n v="27.440000999999999"/>
    <x v="2879"/>
    <n v="20.132701999999998"/>
    <n v="34598500"/>
  </r>
  <r>
    <x v="5193"/>
    <n v="27.459999"/>
    <n v="27.67"/>
    <n v="27.42"/>
    <x v="2717"/>
    <n v="20.023641999999999"/>
    <n v="37219600"/>
  </r>
  <r>
    <x v="5194"/>
    <n v="27.58"/>
    <n v="28.290001"/>
    <n v="27.540001"/>
    <x v="2253"/>
    <n v="20.518049000000001"/>
    <n v="120174900"/>
  </r>
  <r>
    <x v="5195"/>
    <n v="28.34"/>
    <n v="28.690000999999999"/>
    <n v="28.309999000000001"/>
    <x v="2667"/>
    <n v="20.627110999999999"/>
    <n v="129751900"/>
  </r>
  <r>
    <x v="5196"/>
    <n v="28.48"/>
    <n v="28.6"/>
    <n v="28.33"/>
    <x v="2522"/>
    <n v="20.685282000000001"/>
    <n v="49744800"/>
  </r>
  <r>
    <x v="5197"/>
    <n v="28.24"/>
    <n v="28.51"/>
    <n v="28.17"/>
    <x v="2782"/>
    <n v="20.678007000000001"/>
    <n v="40122600"/>
  </r>
  <r>
    <x v="5198"/>
    <n v="28.5"/>
    <n v="28.700001"/>
    <n v="28.26"/>
    <x v="2678"/>
    <n v="20.736173999999998"/>
    <n v="40630800"/>
  </r>
  <r>
    <x v="5199"/>
    <n v="28.35"/>
    <n v="28.450001"/>
    <n v="28.120000999999998"/>
    <x v="2764"/>
    <n v="20.568950999999998"/>
    <n v="44730800"/>
  </r>
  <r>
    <x v="5200"/>
    <n v="28.48"/>
    <n v="28.49"/>
    <n v="28.17"/>
    <x v="2665"/>
    <n v="20.670736000000002"/>
    <n v="48887800"/>
  </r>
  <r>
    <x v="5201"/>
    <n v="28.299999"/>
    <n v="28.690000999999999"/>
    <n v="28.18"/>
    <x v="2522"/>
    <n v="20.685282000000001"/>
    <n v="48525000"/>
  </r>
  <r>
    <x v="5202"/>
    <n v="28.43"/>
    <n v="28.43"/>
    <n v="28.129999000000002"/>
    <x v="2767"/>
    <n v="20.561675999999999"/>
    <n v="61409600"/>
  </r>
  <r>
    <x v="5203"/>
    <n v="28.280000999999999"/>
    <n v="28.459999"/>
    <n v="28.139999"/>
    <x v="2518"/>
    <n v="20.583483000000001"/>
    <n v="40717100"/>
  </r>
  <r>
    <x v="5204"/>
    <n v="28.33"/>
    <n v="28.41"/>
    <n v="28.040001"/>
    <x v="2763"/>
    <n v="20.612576000000001"/>
    <n v="69964200"/>
  </r>
  <r>
    <x v="5205"/>
    <n v="28.49"/>
    <n v="28.790001"/>
    <n v="28.25"/>
    <x v="2507"/>
    <n v="20.605297"/>
    <n v="89060100"/>
  </r>
  <r>
    <x v="5206"/>
    <n v="28.35"/>
    <n v="28.84"/>
    <n v="28.32"/>
    <x v="2800"/>
    <n v="20.743441000000001"/>
    <n v="47296800"/>
  </r>
  <r>
    <x v="5207"/>
    <n v="28.66"/>
    <n v="28.85"/>
    <n v="28.559999000000001"/>
    <x v="2942"/>
    <n v="20.874319"/>
    <n v="61861700"/>
  </r>
  <r>
    <x v="5208"/>
    <n v="28.780000999999999"/>
    <n v="28.99"/>
    <n v="28.700001"/>
    <x v="2943"/>
    <n v="20.947026999999999"/>
    <n v="75895900"/>
  </r>
  <r>
    <x v="5209"/>
    <n v="28.709999"/>
    <n v="28.860001"/>
    <n v="28.58"/>
    <x v="2944"/>
    <n v="20.917946000000001"/>
    <n v="58674400"/>
  </r>
  <r>
    <x v="5210"/>
    <n v="28.85"/>
    <n v="28.93"/>
    <n v="28.610001"/>
    <x v="2945"/>
    <n v="20.888859"/>
    <n v="41124500"/>
  </r>
  <r>
    <x v="5211"/>
    <n v="28.77"/>
    <n v="29.049999"/>
    <n v="28.76"/>
    <x v="2524"/>
    <n v="20.96884"/>
    <n v="60446200"/>
  </r>
  <r>
    <x v="5212"/>
    <n v="28.860001"/>
    <n v="29.07"/>
    <n v="28.799999"/>
    <x v="2263"/>
    <n v="21.048815000000001"/>
    <n v="56511200"/>
  </r>
  <r>
    <x v="5213"/>
    <n v="28.780000999999999"/>
    <n v="29.23"/>
    <n v="28.66"/>
    <x v="2946"/>
    <n v="21.070629"/>
    <n v="77403300"/>
  </r>
  <r>
    <x v="5214"/>
    <n v="29.110001"/>
    <n v="29.4"/>
    <n v="29"/>
    <x v="2947"/>
    <n v="21.274208000000002"/>
    <n v="89407500"/>
  </r>
  <r>
    <x v="5215"/>
    <n v="29.17"/>
    <n v="29.290001"/>
    <n v="29.15"/>
    <x v="2948"/>
    <n v="21.25967"/>
    <n v="37855100"/>
  </r>
  <r>
    <x v="5216"/>
    <n v="29.190000999999999"/>
    <n v="29.459999"/>
    <n v="29.16"/>
    <x v="2689"/>
    <n v="21.339645000000001"/>
    <n v="47271800"/>
  </r>
  <r>
    <x v="5217"/>
    <n v="29.280000999999999"/>
    <n v="29.42"/>
    <n v="29.07"/>
    <x v="2687"/>
    <n v="21.325056"/>
    <n v="63012500"/>
  </r>
  <r>
    <x v="5218"/>
    <n v="29.129999000000002"/>
    <n v="29.360001"/>
    <n v="29.110001"/>
    <x v="2949"/>
    <n v="21.244802"/>
    <n v="63943200"/>
  </r>
  <r>
    <x v="5219"/>
    <n v="29.139999"/>
    <n v="29.639999"/>
    <n v="29.129999000000002"/>
    <x v="2950"/>
    <n v="21.500149"/>
    <n v="64328500"/>
  </r>
  <r>
    <x v="5220"/>
    <n v="29.309999000000001"/>
    <n v="29.540001"/>
    <n v="29.280000999999999"/>
    <x v="2951"/>
    <n v="21.449083000000002"/>
    <n v="49356700"/>
  </r>
  <r>
    <x v="5221"/>
    <n v="29.52"/>
    <n v="30"/>
    <n v="29.5"/>
    <x v="2952"/>
    <n v="21.806567999999999"/>
    <n v="85703800"/>
  </r>
  <r>
    <x v="5222"/>
    <n v="29.91"/>
    <n v="30"/>
    <n v="29.790001"/>
    <x v="2953"/>
    <n v="21.828453"/>
    <n v="66446600"/>
  </r>
  <r>
    <x v="5223"/>
    <n v="29.969999000000001"/>
    <n v="30"/>
    <n v="29.82"/>
    <x v="2953"/>
    <n v="21.828453"/>
    <n v="43907200"/>
  </r>
  <r>
    <x v="5224"/>
    <n v="29.66"/>
    <n v="29.84"/>
    <n v="29.639999"/>
    <x v="2954"/>
    <n v="21.711721000000001"/>
    <n v="20456700"/>
  </r>
  <r>
    <x v="5225"/>
    <n v="29.690000999999999"/>
    <n v="29.74"/>
    <n v="29.33"/>
    <x v="2955"/>
    <n v="21.507446000000002"/>
    <n v="72722100"/>
  </r>
  <r>
    <x v="5226"/>
    <n v="29.34"/>
    <n v="29.42"/>
    <n v="29.129999000000002"/>
    <x v="2956"/>
    <n v="21.441786"/>
    <n v="52602300"/>
  </r>
  <r>
    <x v="5227"/>
    <n v="29.440000999999999"/>
    <n v="29.780000999999999"/>
    <n v="29.43"/>
    <x v="2957"/>
    <n v="21.573101000000001"/>
    <n v="58775100"/>
  </r>
  <r>
    <x v="5228"/>
    <n v="29.42"/>
    <n v="29.57"/>
    <n v="29.33"/>
    <x v="2958"/>
    <n v="21.419896999999999"/>
    <n v="53297400"/>
  </r>
  <r>
    <x v="5229"/>
    <n v="29.23"/>
    <n v="29.299999"/>
    <n v="28.9"/>
    <x v="2949"/>
    <n v="21.244802"/>
    <n v="72257000"/>
  </r>
  <r>
    <x v="5230"/>
    <n v="29.23"/>
    <n v="29.52"/>
    <n v="29.17"/>
    <x v="2959"/>
    <n v="21.398012000000001"/>
    <n v="55123400"/>
  </r>
  <r>
    <x v="5231"/>
    <n v="29.360001"/>
    <n v="29.4"/>
    <n v="29.030000999999999"/>
    <x v="2960"/>
    <n v="21.252092000000001"/>
    <n v="45606000"/>
  </r>
  <r>
    <x v="5232"/>
    <n v="29.1"/>
    <n v="29.129999000000002"/>
    <n v="28.870000999999998"/>
    <x v="2961"/>
    <n v="21.149956"/>
    <n v="48564100"/>
  </r>
  <r>
    <x v="5233"/>
    <n v="28.959999"/>
    <n v="29.07"/>
    <n v="28.809999000000001"/>
    <x v="2962"/>
    <n v="21.047827000000002"/>
    <n v="46831100"/>
  </r>
  <r>
    <x v="5234"/>
    <n v="28.82"/>
    <n v="29.4"/>
    <n v="28.799999"/>
    <x v="2951"/>
    <n v="21.449083000000002"/>
    <n v="108854900"/>
  </r>
  <r>
    <x v="5235"/>
    <n v="29.190000999999999"/>
    <n v="29.75"/>
    <n v="29.110001"/>
    <x v="2344"/>
    <n v="21.551220000000001"/>
    <n v="107712000"/>
  </r>
  <r>
    <x v="5236"/>
    <n v="29.559999000000001"/>
    <n v="29.629999000000002"/>
    <n v="29.219999000000001"/>
    <x v="2963"/>
    <n v="21.470966000000001"/>
    <n v="68529400"/>
  </r>
  <r>
    <x v="5237"/>
    <n v="29.6"/>
    <n v="29.6"/>
    <n v="29.32"/>
    <x v="2964"/>
    <n v="21.558519"/>
    <n v="46002500"/>
  </r>
  <r>
    <x v="5238"/>
    <n v="29.540001"/>
    <n v="30.08"/>
    <n v="29.52"/>
    <x v="2336"/>
    <n v="21.937888999999998"/>
    <n v="85866500"/>
  </r>
  <r>
    <x v="5239"/>
    <n v="30.139999"/>
    <n v="30.23"/>
    <n v="30.030000999999999"/>
    <x v="2367"/>
    <n v="22.025438000000001"/>
    <n v="102783700"/>
  </r>
  <r>
    <x v="5240"/>
    <n v="30.190000999999999"/>
    <n v="30.26"/>
    <n v="29.780000999999999"/>
    <x v="2952"/>
    <n v="21.806567999999999"/>
    <n v="56986800"/>
  </r>
  <r>
    <x v="5241"/>
    <n v="29.709999"/>
    <n v="30.17"/>
    <n v="29.530000999999999"/>
    <x v="2965"/>
    <n v="21.879519999999999"/>
    <n v="53822100"/>
  </r>
  <r>
    <x v="5242"/>
    <n v="29.99"/>
    <n v="30.24"/>
    <n v="29.969999000000001"/>
    <x v="2966"/>
    <n v="21.952475"/>
    <n v="31202100"/>
  </r>
  <r>
    <x v="5243"/>
    <n v="30.129999000000002"/>
    <n v="30.139999"/>
    <n v="29.889999"/>
    <x v="2814"/>
    <n v="21.872226999999999"/>
    <n v="32270500"/>
  </r>
  <r>
    <x v="5244"/>
    <n v="29.83"/>
    <n v="29.860001"/>
    <n v="29.620000999999998"/>
    <x v="2967"/>
    <n v="21.624168000000001"/>
    <n v="37971700"/>
  </r>
  <r>
    <x v="5245"/>
    <n v="29.530000999999999"/>
    <n v="30"/>
    <n v="29.4"/>
    <x v="2965"/>
    <n v="21.879519999999999"/>
    <n v="37098300"/>
  </r>
  <r>
    <x v="5246"/>
    <n v="29.99"/>
    <n v="30.129999000000002"/>
    <n v="29.91"/>
    <x v="2142"/>
    <n v="21.901411"/>
    <n v="31248400"/>
  </r>
  <r>
    <x v="5247"/>
    <n v="29.860001"/>
    <n v="30.030000999999999"/>
    <n v="29.809999000000001"/>
    <x v="2814"/>
    <n v="21.872226999999999"/>
    <n v="26690600"/>
  </r>
  <r>
    <x v="5248"/>
    <n v="29.860001"/>
    <n v="30.15"/>
    <n v="29.83"/>
    <x v="2968"/>
    <n v="21.784678"/>
    <n v="41739800"/>
  </r>
  <r>
    <x v="5249"/>
    <n v="29.91"/>
    <n v="30.25"/>
    <n v="29.4"/>
    <x v="2968"/>
    <n v="21.784678"/>
    <n v="76935100"/>
  </r>
  <r>
    <x v="5250"/>
    <n v="29.700001"/>
    <n v="29.969999000000001"/>
    <n v="29.440000999999999"/>
    <x v="2969"/>
    <n v="21.748201000000002"/>
    <n v="45774500"/>
  </r>
  <r>
    <x v="5251"/>
    <n v="29.629999000000002"/>
    <n v="29.75"/>
    <n v="29.450001"/>
    <x v="2967"/>
    <n v="21.624168000000001"/>
    <n v="44607200"/>
  </r>
  <r>
    <x v="5252"/>
    <n v="29.65"/>
    <n v="30.1"/>
    <n v="29.530000999999999"/>
    <x v="2970"/>
    <n v="21.835743000000001"/>
    <n v="50220200"/>
  </r>
  <r>
    <x v="5253"/>
    <n v="30"/>
    <n v="30.18"/>
    <n v="29.73"/>
    <x v="2671"/>
    <n v="21.857634000000001"/>
    <n v="44636600"/>
  </r>
  <r>
    <x v="5254"/>
    <n v="29.799999"/>
    <n v="29.889999"/>
    <n v="29.43"/>
    <x v="2971"/>
    <n v="21.638764999999999"/>
    <n v="55017400"/>
  </r>
  <r>
    <x v="5255"/>
    <n v="29.76"/>
    <n v="30.75"/>
    <n v="29.65"/>
    <x v="2273"/>
    <n v="22.397508999999999"/>
    <n v="99464300"/>
  </r>
  <r>
    <x v="5256"/>
    <n v="30.65"/>
    <n v="31.389999"/>
    <n v="30.639999"/>
    <x v="2972"/>
    <n v="22.769583000000001"/>
    <n v="103972500"/>
  </r>
  <r>
    <x v="5257"/>
    <n v="31.26"/>
    <n v="31.450001"/>
    <n v="31.030000999999999"/>
    <x v="2326"/>
    <n v="22.733107"/>
    <n v="62379600"/>
  </r>
  <r>
    <x v="5258"/>
    <n v="31.26"/>
    <n v="31.440000999999999"/>
    <n v="31.01"/>
    <x v="2268"/>
    <n v="22.689336999999998"/>
    <n v="58519600"/>
  </r>
  <r>
    <x v="5259"/>
    <n v="31.15"/>
    <n v="31.370000999999998"/>
    <n v="30.799999"/>
    <x v="2973"/>
    <n v="22.616372999999999"/>
    <n v="56364300"/>
  </r>
  <r>
    <x v="5260"/>
    <n v="30.73"/>
    <n v="31.110001"/>
    <n v="30.690000999999999"/>
    <x v="2974"/>
    <n v="22.696636000000002"/>
    <n v="75826900"/>
  </r>
  <r>
    <x v="5261"/>
    <n v="31.059999000000001"/>
    <n v="31.120000999999998"/>
    <n v="30.51"/>
    <x v="2975"/>
    <n v="22.412102000000001"/>
    <n v="56143900"/>
  </r>
  <r>
    <x v="5262"/>
    <n v="30.629999000000002"/>
    <n v="30.959999"/>
    <n v="30.52"/>
    <x v="2145"/>
    <n v="22.426694999999999"/>
    <n v="49171200"/>
  </r>
  <r>
    <x v="5263"/>
    <n v="30.780000999999999"/>
    <n v="31.299999"/>
    <n v="30.65"/>
    <x v="2143"/>
    <n v="22.682032"/>
    <n v="58527800"/>
  </r>
  <r>
    <x v="5264"/>
    <n v="31.08"/>
    <n v="31.48"/>
    <n v="30.450001"/>
    <x v="2976"/>
    <n v="22.215122000000001"/>
    <n v="97378700"/>
  </r>
  <r>
    <x v="5265"/>
    <n v="31.219999000000001"/>
    <n v="31.23"/>
    <n v="30.6"/>
    <x v="2977"/>
    <n v="22.324556000000001"/>
    <n v="96103700"/>
  </r>
  <r>
    <x v="5266"/>
    <n v="30.65"/>
    <n v="30.780000999999999"/>
    <n v="30.34"/>
    <x v="2978"/>
    <n v="22.273485000000001"/>
    <n v="57605900"/>
  </r>
  <r>
    <x v="5267"/>
    <n v="30.57"/>
    <n v="30.639999"/>
    <n v="30.139999"/>
    <x v="2979"/>
    <n v="22.237005"/>
    <n v="61900400"/>
  </r>
  <r>
    <x v="5268"/>
    <n v="30.41"/>
    <n v="31.1"/>
    <n v="30.35"/>
    <x v="2980"/>
    <n v="22.514234999999999"/>
    <n v="73968400"/>
  </r>
  <r>
    <x v="5269"/>
    <n v="30.84"/>
    <n v="30.940000999999999"/>
    <n v="30.370000999999998"/>
    <x v="2330"/>
    <n v="22.295369999999998"/>
    <n v="55355800"/>
  </r>
  <r>
    <x v="5270"/>
    <n v="30.82"/>
    <n v="30.84"/>
    <n v="30.129999000000002"/>
    <x v="2367"/>
    <n v="22.025438000000001"/>
    <n v="60401700"/>
  </r>
  <r>
    <x v="5271"/>
    <n v="29.969999000000001"/>
    <n v="30.02"/>
    <n v="29.41"/>
    <x v="2981"/>
    <n v="21.602291000000001"/>
    <n v="99102100"/>
  </r>
  <r>
    <x v="5272"/>
    <n v="29.59"/>
    <n v="29.75"/>
    <n v="29.219999000000001"/>
    <x v="2982"/>
    <n v="21.529330999999999"/>
    <n v="79281100"/>
  </r>
  <r>
    <x v="5273"/>
    <n v="29.639999"/>
    <n v="29.700001"/>
    <n v="29.25"/>
    <x v="2983"/>
    <n v="21.427195000000001"/>
    <n v="65145500"/>
  </r>
  <r>
    <x v="5274"/>
    <n v="29.24"/>
    <n v="29.799999"/>
    <n v="29.200001"/>
    <x v="2947"/>
    <n v="21.346943"/>
    <n v="48749000"/>
  </r>
  <r>
    <x v="5275"/>
    <n v="29.35"/>
    <n v="29.4"/>
    <n v="28.93"/>
    <x v="2946"/>
    <n v="21.142659999999999"/>
    <n v="69823100"/>
  </r>
  <r>
    <x v="5276"/>
    <n v="28.889999"/>
    <n v="29.09"/>
    <n v="28.83"/>
    <x v="2683"/>
    <n v="21.113485000000001"/>
    <n v="52774400"/>
  </r>
  <r>
    <x v="5277"/>
    <n v="29.040001"/>
    <n v="29.200001"/>
    <n v="28.959999"/>
    <x v="2984"/>
    <n v="21.237943999999999"/>
    <n v="50348100"/>
  </r>
  <r>
    <x v="5278"/>
    <n v="29.17"/>
    <n v="29.690000999999999"/>
    <n v="29.15"/>
    <x v="2951"/>
    <n v="21.523454999999998"/>
    <n v="55588600"/>
  </r>
  <r>
    <x v="5279"/>
    <n v="29.58"/>
    <n v="29.65"/>
    <n v="29.219999000000001"/>
    <x v="2985"/>
    <n v="21.567377"/>
    <n v="63858100"/>
  </r>
  <r>
    <x v="5280"/>
    <n v="28.91"/>
    <n v="28.940000999999999"/>
    <n v="28.65"/>
    <x v="2986"/>
    <n v="21.040268000000001"/>
    <n v="109340300"/>
  </r>
  <r>
    <x v="5281"/>
    <n v="28.629999000000002"/>
    <n v="28.860001"/>
    <n v="28.469999000000001"/>
    <x v="2676"/>
    <n v="21.106159000000002"/>
    <n v="53978200"/>
  </r>
  <r>
    <x v="5282"/>
    <n v="28.75"/>
    <n v="29.389999"/>
    <n v="28.74"/>
    <x v="2689"/>
    <n v="21.486844999999999"/>
    <n v="68604900"/>
  </r>
  <r>
    <x v="5283"/>
    <n v="29.309999000000001"/>
    <n v="29.540001"/>
    <n v="29.16"/>
    <x v="2956"/>
    <n v="21.516134000000001"/>
    <n v="57754400"/>
  </r>
  <r>
    <x v="5284"/>
    <n v="29.219999000000001"/>
    <n v="29.280000999999999"/>
    <n v="28.889999"/>
    <x v="2669"/>
    <n v="21.157409999999999"/>
    <n v="63787100"/>
  </r>
  <r>
    <x v="5285"/>
    <n v="28.959999"/>
    <n v="29.09"/>
    <n v="28.82"/>
    <x v="2672"/>
    <n v="21.281863999999999"/>
    <n v="63481900"/>
  </r>
  <r>
    <x v="5286"/>
    <n v="28.709999"/>
    <n v="28.969999000000001"/>
    <n v="27.790001"/>
    <x v="2399"/>
    <n v="20.403355000000001"/>
    <n v="87143300"/>
  </r>
  <r>
    <x v="5287"/>
    <n v="27.950001"/>
    <n v="28.25"/>
    <n v="27.92"/>
    <x v="2801"/>
    <n v="20.622987999999999"/>
    <n v="86333300"/>
  </r>
  <r>
    <x v="5288"/>
    <n v="27.82"/>
    <n v="28.33"/>
    <n v="27.73"/>
    <x v="2987"/>
    <n v="20.564420999999999"/>
    <n v="80175700"/>
  </r>
  <r>
    <x v="5289"/>
    <n v="28.02"/>
    <n v="28.16"/>
    <n v="27.76"/>
    <x v="2863"/>
    <n v="20.322823"/>
    <n v="63254700"/>
  </r>
  <r>
    <x v="5290"/>
    <n v="27.49"/>
    <n v="27.91"/>
    <n v="27.41"/>
    <x v="2510"/>
    <n v="20.169086"/>
    <n v="56454300"/>
  </r>
  <r>
    <x v="5291"/>
    <n v="27.799999"/>
    <n v="27.940000999999999"/>
    <n v="27.65"/>
    <x v="2988"/>
    <n v="20.374071000000001"/>
    <n v="49361800"/>
  </r>
  <r>
    <x v="5292"/>
    <n v="27.76"/>
    <n v="27.9"/>
    <n v="27.549999"/>
    <x v="2989"/>
    <n v="20.213017000000001"/>
    <n v="52044700"/>
  </r>
  <r>
    <x v="5293"/>
    <n v="27.719999000000001"/>
    <n v="27.85"/>
    <n v="26.6"/>
    <x v="2762"/>
    <n v="20.000710999999999"/>
    <n v="72175200"/>
  </r>
  <r>
    <x v="5294"/>
    <n v="27.42"/>
    <n v="27.48"/>
    <n v="27.030000999999999"/>
    <x v="2725"/>
    <n v="19.978736999999999"/>
    <n v="80125000"/>
  </r>
  <r>
    <x v="5295"/>
    <n v="27.18"/>
    <n v="27.48"/>
    <n v="27.129999000000002"/>
    <x v="2397"/>
    <n v="20.088553999999998"/>
    <n v="36516400"/>
  </r>
  <r>
    <x v="5296"/>
    <n v="27.25"/>
    <n v="27.4"/>
    <n v="26.709999"/>
    <x v="2824"/>
    <n v="19.561453"/>
    <n v="75169500"/>
  </r>
  <r>
    <x v="5297"/>
    <n v="26.82"/>
    <n v="27.4"/>
    <n v="26.73"/>
    <x v="2642"/>
    <n v="20.059270999999999"/>
    <n v="75730300"/>
  </r>
  <r>
    <x v="5298"/>
    <n v="27.32"/>
    <n v="27.469999000000001"/>
    <n v="27.200001"/>
    <x v="2256"/>
    <n v="19.971419999999998"/>
    <n v="51757100"/>
  </r>
  <r>
    <x v="5299"/>
    <n v="27.35"/>
    <n v="27.48"/>
    <n v="27.200001"/>
    <x v="2531"/>
    <n v="20.008026000000001"/>
    <n v="65055300"/>
  </r>
  <r>
    <x v="5300"/>
    <n v="27.34"/>
    <n v="27.83"/>
    <n v="27.200001"/>
    <x v="2988"/>
    <n v="20.374071000000001"/>
    <n v="49412000"/>
  </r>
  <r>
    <x v="5301"/>
    <n v="27.93"/>
    <n v="28.16"/>
    <n v="27.76"/>
    <x v="2419"/>
    <n v="20.38139"/>
    <n v="47902400"/>
  </r>
  <r>
    <x v="5302"/>
    <n v="27.9"/>
    <n v="28.52"/>
    <n v="27.559999000000001"/>
    <x v="2678"/>
    <n v="20.879211000000002"/>
    <n v="72808200"/>
  </r>
  <r>
    <x v="5303"/>
    <n v="28.52"/>
    <n v="28.549999"/>
    <n v="28.01"/>
    <x v="2527"/>
    <n v="20.696190000000001"/>
    <n v="47934900"/>
  </r>
  <r>
    <x v="5304"/>
    <n v="28.219999000000001"/>
    <n v="28.27"/>
    <n v="27.799999"/>
    <x v="2770"/>
    <n v="20.513172000000001"/>
    <n v="50519800"/>
  </r>
  <r>
    <x v="5305"/>
    <n v="27.940000999999999"/>
    <n v="28.219999000000001"/>
    <n v="27.700001"/>
    <x v="2253"/>
    <n v="20.659590000000001"/>
    <n v="47491500"/>
  </r>
  <r>
    <x v="5306"/>
    <n v="28.040001"/>
    <n v="28.16"/>
    <n v="27.65"/>
    <x v="2789"/>
    <n v="20.293541000000001"/>
    <n v="58979800"/>
  </r>
  <r>
    <x v="5307"/>
    <n v="27.58"/>
    <n v="28"/>
    <n v="27.4"/>
    <x v="2771"/>
    <n v="20.234971999999999"/>
    <n v="46947000"/>
  </r>
  <r>
    <x v="5308"/>
    <n v="27.84"/>
    <n v="27.85"/>
    <n v="27.49"/>
    <x v="1627"/>
    <n v="20.315508000000001"/>
    <n v="42629900"/>
  </r>
  <r>
    <x v="5309"/>
    <n v="27.75"/>
    <n v="27.950001"/>
    <n v="27.5"/>
    <x v="2399"/>
    <n v="20.403355000000001"/>
    <n v="47061000"/>
  </r>
  <r>
    <x v="5310"/>
    <n v="27.889999"/>
    <n v="27.93"/>
    <n v="27.559999000000001"/>
    <x v="2806"/>
    <n v="20.308184000000001"/>
    <n v="41977600"/>
  </r>
  <r>
    <x v="5311"/>
    <n v="27.860001"/>
    <n v="28.059999000000001"/>
    <n v="27.75"/>
    <x v="2399"/>
    <n v="20.403355000000001"/>
    <n v="39821300"/>
  </r>
  <r>
    <x v="5312"/>
    <n v="28.01"/>
    <n v="28.780000999999999"/>
    <n v="27.9"/>
    <x v="2670"/>
    <n v="20.864573"/>
    <n v="63244200"/>
  </r>
  <r>
    <x v="5313"/>
    <n v="28.32"/>
    <n v="28.65"/>
    <n v="28.299999"/>
    <x v="2990"/>
    <n v="20.901171000000001"/>
    <n v="30131200"/>
  </r>
  <r>
    <x v="5314"/>
    <n v="28.58"/>
    <n v="28.719999000000001"/>
    <n v="28.389999"/>
    <x v="2766"/>
    <n v="20.915817000000001"/>
    <n v="31384600"/>
  </r>
  <r>
    <x v="5315"/>
    <n v="28.5"/>
    <n v="28.639999"/>
    <n v="28.219999000000001"/>
    <x v="2991"/>
    <n v="20.791360999999998"/>
    <n v="38643100"/>
  </r>
  <r>
    <x v="5316"/>
    <n v="28.299999"/>
    <n v="28.57"/>
    <n v="27.99"/>
    <x v="2992"/>
    <n v="20.579058"/>
    <n v="44050200"/>
  </r>
  <r>
    <x v="5317"/>
    <n v="28.059999000000001"/>
    <n v="28.620000999999998"/>
    <n v="28.040001"/>
    <x v="2993"/>
    <n v="20.893858000000002"/>
    <n v="43762100"/>
  </r>
  <r>
    <x v="5318"/>
    <n v="28.43"/>
    <n v="28.700001"/>
    <n v="28.1"/>
    <x v="2372"/>
    <n v="20.945108000000001"/>
    <n v="36002900"/>
  </r>
  <r>
    <x v="5319"/>
    <n v="28.6"/>
    <n v="28.75"/>
    <n v="28.209999"/>
    <x v="2945"/>
    <n v="21.032959000000002"/>
    <n v="30740100"/>
  </r>
  <r>
    <x v="5320"/>
    <n v="28.629999000000002"/>
    <n v="28.889999"/>
    <n v="28.559999000000001"/>
    <x v="2962"/>
    <n v="21.120804"/>
    <n v="33170200"/>
  </r>
  <r>
    <x v="5321"/>
    <n v="28.610001"/>
    <n v="28.67"/>
    <n v="28.360001"/>
    <x v="2381"/>
    <n v="20.937781999999999"/>
    <n v="41778400"/>
  </r>
  <r>
    <x v="5322"/>
    <n v="28.34"/>
    <n v="28.889999"/>
    <n v="28.26"/>
    <x v="2994"/>
    <n v="21.00367"/>
    <n v="43648800"/>
  </r>
  <r>
    <x v="5323"/>
    <n v="28.98"/>
    <n v="29.1"/>
    <n v="28.700001"/>
    <x v="2255"/>
    <n v="21.245262"/>
    <n v="60311500"/>
  </r>
  <r>
    <x v="5324"/>
    <n v="28.959999"/>
    <n v="28.99"/>
    <n v="28.67"/>
    <x v="2685"/>
    <n v="21.069557"/>
    <n v="41739100"/>
  </r>
  <r>
    <x v="5325"/>
    <n v="28.790001"/>
    <n v="28.959999"/>
    <n v="28.59"/>
    <x v="2239"/>
    <n v="21.076882999999999"/>
    <n v="34236700"/>
  </r>
  <r>
    <x v="5326"/>
    <n v="28.860001"/>
    <n v="29"/>
    <n v="28.690000999999999"/>
    <x v="2961"/>
    <n v="21.223293000000002"/>
    <n v="39475000"/>
  </r>
  <r>
    <x v="5327"/>
    <n v="29.09"/>
    <n v="29.35"/>
    <n v="28.91"/>
    <x v="2995"/>
    <n v="21.303826999999998"/>
    <n v="68760300"/>
  </r>
  <r>
    <x v="5328"/>
    <n v="30.17"/>
    <n v="30.74"/>
    <n v="30"/>
    <x v="2996"/>
    <n v="22.050564000000001"/>
    <n v="128298800"/>
  </r>
  <r>
    <x v="5329"/>
    <n v="30.129999000000002"/>
    <n v="30.370000999999998"/>
    <n v="29.940000999999999"/>
    <x v="2997"/>
    <n v="21.918785"/>
    <n v="67788800"/>
  </r>
  <r>
    <x v="5330"/>
    <n v="29.940000999999999"/>
    <n v="30.42"/>
    <n v="29.9"/>
    <x v="2998"/>
    <n v="22.255547"/>
    <n v="73539300"/>
  </r>
  <r>
    <x v="5331"/>
    <n v="30.389999"/>
    <n v="30.690000999999999"/>
    <n v="30.299999"/>
    <x v="2357"/>
    <n v="22.409281"/>
    <n v="80686700"/>
  </r>
  <r>
    <x v="5332"/>
    <n v="30.6"/>
    <n v="31"/>
    <n v="30.530000999999999"/>
    <x v="2999"/>
    <n v="22.672834000000002"/>
    <n v="82036800"/>
  </r>
  <r>
    <x v="5333"/>
    <n v="30.68"/>
    <n v="30.700001"/>
    <n v="30.290001"/>
    <x v="2330"/>
    <n v="22.372676999999999"/>
    <n v="104385900"/>
  </r>
  <r>
    <x v="5334"/>
    <n v="30.52"/>
    <n v="30.76"/>
    <n v="30.48"/>
    <x v="3000"/>
    <n v="22.482481"/>
    <n v="59889100"/>
  </r>
  <r>
    <x v="5335"/>
    <n v="30.68"/>
    <n v="30.940000999999999"/>
    <n v="30.58"/>
    <x v="2011"/>
    <n v="22.511778"/>
    <n v="60551700"/>
  </r>
  <r>
    <x v="5336"/>
    <n v="30.700001"/>
    <n v="30.93"/>
    <n v="30.57"/>
    <x v="3001"/>
    <n v="22.533735"/>
    <n v="51735000"/>
  </r>
  <r>
    <x v="5337"/>
    <n v="30.68"/>
    <n v="30.93"/>
    <n v="30.530000999999999"/>
    <x v="3002"/>
    <n v="22.387325000000001"/>
    <n v="55398600"/>
  </r>
  <r>
    <x v="5338"/>
    <n v="30.57"/>
    <n v="30.98"/>
    <n v="30.549999"/>
    <x v="3003"/>
    <n v="22.614269"/>
    <n v="43425300"/>
  </r>
  <r>
    <x v="5339"/>
    <n v="30.84"/>
    <n v="30.99"/>
    <n v="30.809999000000001"/>
    <x v="2999"/>
    <n v="22.672834000000002"/>
    <n v="70188500"/>
  </r>
  <r>
    <x v="5340"/>
    <n v="30.9"/>
    <n v="31.09"/>
    <n v="30.84"/>
    <x v="3004"/>
    <n v="22.694868"/>
    <n v="75013900"/>
  </r>
  <r>
    <x v="5341"/>
    <n v="31"/>
    <n v="31.09"/>
    <n v="30.809999000000001"/>
    <x v="2359"/>
    <n v="22.819723"/>
    <n v="45833600"/>
  </r>
  <r>
    <x v="5342"/>
    <n v="31.030000999999999"/>
    <n v="31.139999"/>
    <n v="30.959999"/>
    <x v="3005"/>
    <n v="22.753626000000001"/>
    <n v="41045600"/>
  </r>
  <r>
    <x v="5343"/>
    <n v="30.969999000000001"/>
    <n v="30.99"/>
    <n v="30.58"/>
    <x v="3006"/>
    <n v="22.643456"/>
    <n v="58453000"/>
  </r>
  <r>
    <x v="5344"/>
    <n v="30.73"/>
    <n v="31.16"/>
    <n v="30.73"/>
    <x v="2356"/>
    <n v="22.805035"/>
    <n v="41836400"/>
  </r>
  <r>
    <x v="5345"/>
    <n v="30.9"/>
    <n v="30.93"/>
    <n v="30.66"/>
    <x v="3007"/>
    <n v="22.540628000000002"/>
    <n v="39999500"/>
  </r>
  <r>
    <x v="5346"/>
    <n v="30.84"/>
    <n v="30.84"/>
    <n v="30.57"/>
    <x v="3002"/>
    <n v="22.459835000000002"/>
    <n v="46322500"/>
  </r>
  <r>
    <x v="5347"/>
    <n v="30.540001"/>
    <n v="30.799999"/>
    <n v="29.959999"/>
    <x v="3008"/>
    <n v="22.158709000000002"/>
    <n v="64046400"/>
  </r>
  <r>
    <x v="5348"/>
    <n v="30.280000999999999"/>
    <n v="30.66"/>
    <n v="30.18"/>
    <x v="2979"/>
    <n v="22.386402"/>
    <n v="47726500"/>
  </r>
  <r>
    <x v="5349"/>
    <n v="30.49"/>
    <n v="30.83"/>
    <n v="30.389999"/>
    <x v="3009"/>
    <n v="22.614075"/>
    <n v="42373100"/>
  </r>
  <r>
    <x v="5350"/>
    <n v="30.549999"/>
    <n v="31.129999000000002"/>
    <n v="30.51"/>
    <x v="2974"/>
    <n v="22.849105999999999"/>
    <n v="57376800"/>
  </r>
  <r>
    <x v="5351"/>
    <n v="31.120000999999998"/>
    <n v="31.16"/>
    <n v="30.610001"/>
    <x v="3007"/>
    <n v="22.540628000000002"/>
    <n v="85290500"/>
  </r>
  <r>
    <x v="5352"/>
    <n v="30.790001"/>
    <n v="30.9"/>
    <n v="30.549999"/>
    <x v="3010"/>
    <n v="22.467186000000002"/>
    <n v="39469400"/>
  </r>
  <r>
    <x v="5353"/>
    <n v="30.42"/>
    <n v="30.76"/>
    <n v="30.4"/>
    <x v="2975"/>
    <n v="22.562662"/>
    <n v="41434500"/>
  </r>
  <r>
    <x v="5354"/>
    <n v="30.620000999999998"/>
    <n v="30.629999000000002"/>
    <n v="30.33"/>
    <x v="3002"/>
    <n v="22.459835000000002"/>
    <n v="44265000"/>
  </r>
  <r>
    <x v="5355"/>
    <n v="30.370000999999998"/>
    <n v="30.530000999999999"/>
    <n v="30.25"/>
    <x v="3011"/>
    <n v="22.246841"/>
    <n v="38217500"/>
  </r>
  <r>
    <x v="5356"/>
    <n v="30.02"/>
    <n v="30.290001"/>
    <n v="29.59"/>
    <x v="3012"/>
    <n v="21.754753000000001"/>
    <n v="71971400"/>
  </r>
  <r>
    <x v="5357"/>
    <n v="29.58"/>
    <n v="30.059999000000001"/>
    <n v="29.41"/>
    <x v="2361"/>
    <n v="22.070574000000001"/>
    <n v="61346200"/>
  </r>
  <r>
    <x v="5358"/>
    <n v="29.940000999999999"/>
    <n v="30.25"/>
    <n v="29.93"/>
    <x v="2142"/>
    <n v="22.048539999999999"/>
    <n v="48467400"/>
  </r>
  <r>
    <x v="5359"/>
    <n v="29.959999"/>
    <n v="30.24"/>
    <n v="29.77"/>
    <x v="3013"/>
    <n v="21.923680999999998"/>
    <n v="56981800"/>
  </r>
  <r>
    <x v="5360"/>
    <n v="29.969999000000001"/>
    <n v="30.41"/>
    <n v="29.85"/>
    <x v="2226"/>
    <n v="22.320285999999999"/>
    <n v="64435600"/>
  </r>
  <r>
    <x v="5361"/>
    <n v="30.35"/>
    <n v="30.709999"/>
    <n v="30.299999"/>
    <x v="3014"/>
    <n v="22.415770999999999"/>
    <n v="59065700"/>
  </r>
  <r>
    <x v="5362"/>
    <n v="30.860001"/>
    <n v="30.879999000000002"/>
    <n v="30.43"/>
    <x v="3015"/>
    <n v="22.393742"/>
    <n v="100933000"/>
  </r>
  <r>
    <x v="5363"/>
    <n v="30.690000999999999"/>
    <n v="30.719999000000001"/>
    <n v="30.42"/>
    <x v="3016"/>
    <n v="22.408429999999999"/>
    <n v="45412600"/>
  </r>
  <r>
    <x v="5364"/>
    <n v="30.48"/>
    <n v="30.66"/>
    <n v="30.379999000000002"/>
    <x v="3017"/>
    <n v="22.371706"/>
    <n v="46802600"/>
  </r>
  <r>
    <x v="5365"/>
    <n v="30.440000999999999"/>
    <n v="30.51"/>
    <n v="29.959999"/>
    <x v="3018"/>
    <n v="22.041201000000001"/>
    <n v="46861600"/>
  </r>
  <r>
    <x v="5366"/>
    <n v="29.98"/>
    <n v="30.299999"/>
    <n v="29.91"/>
    <x v="3019"/>
    <n v="22.195436000000001"/>
    <n v="56564800"/>
  </r>
  <r>
    <x v="5367"/>
    <n v="30"/>
    <n v="30.1"/>
    <n v="29.450001"/>
    <x v="3020"/>
    <n v="21.659272999999999"/>
    <n v="86219900"/>
  </r>
  <r>
    <x v="5368"/>
    <n v="29.469999000000001"/>
    <n v="29.77"/>
    <n v="29.379999000000002"/>
    <x v="3020"/>
    <n v="21.659272999999999"/>
    <n v="53905800"/>
  </r>
  <r>
    <x v="5369"/>
    <n v="29.549999"/>
    <n v="29.799999"/>
    <n v="29.5"/>
    <x v="3021"/>
    <n v="21.681311000000001"/>
    <n v="48340300"/>
  </r>
  <r>
    <x v="5370"/>
    <n v="29.360001"/>
    <n v="29.950001"/>
    <n v="29.360001"/>
    <x v="3022"/>
    <n v="21.938369999999999"/>
    <n v="53468600"/>
  </r>
  <r>
    <x v="5371"/>
    <n v="29.860001"/>
    <n v="29.969999000000001"/>
    <n v="29.68"/>
    <x v="3023"/>
    <n v="21.908998"/>
    <n v="46055200"/>
  </r>
  <r>
    <x v="5372"/>
    <n v="29.870000999999998"/>
    <n v="29.93"/>
    <n v="29.040001"/>
    <x v="2950"/>
    <n v="21.644583000000001"/>
    <n v="71193900"/>
  </r>
  <r>
    <x v="5373"/>
    <n v="29.67"/>
    <n v="29.799999"/>
    <n v="29.49"/>
    <x v="3024"/>
    <n v="21.842890000000001"/>
    <n v="47316000"/>
  </r>
  <r>
    <x v="5374"/>
    <n v="29.790001"/>
    <n v="30.219999000000001"/>
    <n v="29.780000999999999"/>
    <x v="2142"/>
    <n v="22.048539999999999"/>
    <n v="35202600"/>
  </r>
  <r>
    <x v="5375"/>
    <n v="30.049999"/>
    <n v="30.219999000000001"/>
    <n v="29.83"/>
    <x v="2965"/>
    <n v="22.026508"/>
    <n v="47838500"/>
  </r>
  <r>
    <x v="5376"/>
    <n v="29.91"/>
    <n v="30.040001"/>
    <n v="29.66"/>
    <x v="2815"/>
    <n v="22.011818000000002"/>
    <n v="57541000"/>
  </r>
  <r>
    <x v="5377"/>
    <n v="29.860001"/>
    <n v="29.950001"/>
    <n v="29.809999000000001"/>
    <x v="3022"/>
    <n v="21.938369999999999"/>
    <n v="33831400"/>
  </r>
  <r>
    <x v="5378"/>
    <n v="29.700001"/>
    <n v="29.99"/>
    <n v="29.18"/>
    <x v="2959"/>
    <n v="21.541767"/>
    <n v="66013500"/>
  </r>
  <r>
    <x v="5379"/>
    <n v="29.24"/>
    <n v="29.65"/>
    <n v="29.209999"/>
    <x v="3020"/>
    <n v="21.659272999999999"/>
    <n v="48017000"/>
  </r>
  <r>
    <x v="5380"/>
    <n v="29.559999000000001"/>
    <n v="30.110001"/>
    <n v="29.440000999999999"/>
    <x v="2336"/>
    <n v="22.085270000000001"/>
    <n v="54302400"/>
  </r>
  <r>
    <x v="5381"/>
    <n v="29.940000999999999"/>
    <n v="30.02"/>
    <n v="29.66"/>
    <x v="2269"/>
    <n v="21.901646"/>
    <n v="42173000"/>
  </r>
  <r>
    <x v="5382"/>
    <n v="29.76"/>
    <n v="30.24"/>
    <n v="29.719999000000001"/>
    <x v="3025"/>
    <n v="22.055886999999998"/>
    <n v="48023200"/>
  </r>
  <r>
    <x v="5383"/>
    <n v="30.02"/>
    <n v="30.879999000000002"/>
    <n v="30.01"/>
    <x v="3001"/>
    <n v="22.606728"/>
    <n v="77539600"/>
  </r>
  <r>
    <x v="5384"/>
    <n v="30.51"/>
    <n v="30.969999000000001"/>
    <n v="30.5"/>
    <x v="2272"/>
    <n v="22.709557"/>
    <n v="64414400"/>
  </r>
  <r>
    <x v="5385"/>
    <n v="31.049999"/>
    <n v="31.84"/>
    <n v="30.93"/>
    <x v="3026"/>
    <n v="23.142887000000002"/>
    <n v="121159300"/>
  </r>
  <r>
    <x v="5386"/>
    <n v="31.15"/>
    <n v="31.200001"/>
    <n v="30.790001"/>
    <x v="2326"/>
    <n v="22.885829999999999"/>
    <n v="98292600"/>
  </r>
  <r>
    <x v="5387"/>
    <n v="31.360001"/>
    <n v="31.52"/>
    <n v="31.120000999999998"/>
    <x v="3027"/>
    <n v="22.907865999999999"/>
    <n v="48910600"/>
  </r>
  <r>
    <x v="5388"/>
    <n v="31.01"/>
    <n v="31.48"/>
    <n v="30.709999"/>
    <x v="3028"/>
    <n v="22.621417999999998"/>
    <n v="59729300"/>
  </r>
  <r>
    <x v="5389"/>
    <n v="30.99"/>
    <n v="31.299999"/>
    <n v="30.370000999999998"/>
    <x v="3000"/>
    <n v="22.555311"/>
    <n v="54950100"/>
  </r>
  <r>
    <x v="5390"/>
    <n v="30.24"/>
    <n v="30.530000999999999"/>
    <n v="29.51"/>
    <x v="2814"/>
    <n v="22.019166999999999"/>
    <n v="87025300"/>
  </r>
  <r>
    <x v="5391"/>
    <n v="29.93"/>
    <n v="30"/>
    <n v="29.360001"/>
    <x v="2956"/>
    <n v="21.585823000000001"/>
    <n v="69214600"/>
  </r>
  <r>
    <x v="5392"/>
    <n v="29.41"/>
    <n v="29.49"/>
    <n v="28.950001"/>
    <x v="2951"/>
    <n v="21.593176"/>
    <n v="67499600"/>
  </r>
  <r>
    <x v="5393"/>
    <n v="29.709999"/>
    <n v="29.719999000000001"/>
    <n v="28.98"/>
    <x v="2961"/>
    <n v="21.292048000000001"/>
    <n v="66554000"/>
  </r>
  <r>
    <x v="5394"/>
    <n v="28.950001"/>
    <n v="29.549999"/>
    <n v="28.82"/>
    <x v="3029"/>
    <n v="21.519728000000001"/>
    <n v="80006300"/>
  </r>
  <r>
    <x v="5395"/>
    <n v="29.190000999999999"/>
    <n v="29.790001"/>
    <n v="29.02"/>
    <x v="3021"/>
    <n v="21.681311000000001"/>
    <n v="47938300"/>
  </r>
  <r>
    <x v="5396"/>
    <n v="29.450001"/>
    <n v="29.780000999999999"/>
    <n v="28.9"/>
    <x v="3030"/>
    <n v="21.270015999999998"/>
    <n v="61535500"/>
  </r>
  <r>
    <x v="5397"/>
    <n v="29.049999"/>
    <n v="29.540001"/>
    <n v="28.75"/>
    <x v="2344"/>
    <n v="21.695996999999998"/>
    <n v="59530500"/>
  </r>
  <r>
    <x v="5398"/>
    <n v="29.33"/>
    <n v="29.790001"/>
    <n v="29.049999"/>
    <x v="2964"/>
    <n v="21.703341000000002"/>
    <n v="49163000"/>
  </r>
  <r>
    <x v="5399"/>
    <n v="29.719999000000001"/>
    <n v="30.01"/>
    <n v="29.209999"/>
    <x v="3031"/>
    <n v="22.033854000000002"/>
    <n v="52898600"/>
  </r>
  <r>
    <x v="5400"/>
    <n v="29.639999"/>
    <n v="30.1"/>
    <n v="28.92"/>
    <x v="3029"/>
    <n v="21.519728000000001"/>
    <n v="72964500"/>
  </r>
  <r>
    <x v="5401"/>
    <n v="28.9"/>
    <n v="29.049999"/>
    <n v="28.26"/>
    <x v="2942"/>
    <n v="21.086390999999999"/>
    <n v="76576200"/>
  </r>
  <r>
    <x v="5402"/>
    <n v="28.940000999999999"/>
    <n v="28.99"/>
    <n v="28.440000999999999"/>
    <x v="2769"/>
    <n v="21.027639000000001"/>
    <n v="55492300"/>
  </r>
  <r>
    <x v="5403"/>
    <n v="28.77"/>
    <n v="28.889999"/>
    <n v="28.200001"/>
    <x v="2527"/>
    <n v="20.836010000000002"/>
    <n v="42944100"/>
  </r>
  <r>
    <x v="5404"/>
    <n v="28.24"/>
    <n v="28.99"/>
    <n v="28.049999"/>
    <x v="2719"/>
    <n v="20.710716000000001"/>
    <n v="48117700"/>
  </r>
  <r>
    <x v="5405"/>
    <n v="27.879999000000002"/>
    <n v="28.35"/>
    <n v="27.51"/>
    <x v="2718"/>
    <n v="20.496977000000001"/>
    <n v="81447400"/>
  </r>
  <r>
    <x v="5406"/>
    <n v="28.09"/>
    <n v="28.25"/>
    <n v="27.82"/>
    <x v="1636"/>
    <n v="20.821268"/>
    <n v="76747700"/>
  </r>
  <r>
    <x v="5407"/>
    <n v="28.18"/>
    <n v="28.49"/>
    <n v="28.08"/>
    <x v="3032"/>
    <n v="20.828644000000001"/>
    <n v="49952000"/>
  </r>
  <r>
    <x v="5408"/>
    <n v="28.1"/>
    <n v="28.32"/>
    <n v="27.870000999999998"/>
    <x v="2785"/>
    <n v="20.688607999999999"/>
    <n v="50786200"/>
  </r>
  <r>
    <x v="5409"/>
    <n v="28.27"/>
    <n v="28.32"/>
    <n v="28.01"/>
    <x v="2253"/>
    <n v="20.799160000000001"/>
    <n v="44763500"/>
  </r>
  <r>
    <x v="5410"/>
    <n v="28.280000999999999"/>
    <n v="28.33"/>
    <n v="28.1"/>
    <x v="2664"/>
    <n v="20.858122000000002"/>
    <n v="33886600"/>
  </r>
  <r>
    <x v="5411"/>
    <n v="28.209999"/>
    <n v="28.84"/>
    <n v="28.07"/>
    <x v="2943"/>
    <n v="21.234009"/>
    <n v="45158900"/>
  </r>
  <r>
    <x v="5412"/>
    <n v="28.610001"/>
    <n v="28.77"/>
    <n v="28.4"/>
    <x v="2784"/>
    <n v="20.998158"/>
    <n v="32789500"/>
  </r>
  <r>
    <x v="5413"/>
    <n v="28.299999"/>
    <n v="28.49"/>
    <n v="27.91"/>
    <x v="3033"/>
    <n v="20.585417"/>
    <n v="43924400"/>
  </r>
  <r>
    <x v="5414"/>
    <n v="28.129999000000002"/>
    <n v="28.610001"/>
    <n v="27.82"/>
    <x v="3034"/>
    <n v="21.071859"/>
    <n v="45753700"/>
  </r>
  <r>
    <x v="5415"/>
    <n v="28.42"/>
    <n v="28.93"/>
    <n v="28.32"/>
    <x v="2522"/>
    <n v="20.968675999999999"/>
    <n v="33690700"/>
  </r>
  <r>
    <x v="5416"/>
    <n v="28.700001"/>
    <n v="28.92"/>
    <n v="28.360001"/>
    <x v="2945"/>
    <n v="21.175049000000001"/>
    <n v="42511900"/>
  </r>
  <r>
    <x v="5417"/>
    <n v="28.5"/>
    <n v="29.1"/>
    <n v="28.48"/>
    <x v="2943"/>
    <n v="21.234009"/>
    <n v="45689600"/>
  </r>
  <r>
    <x v="5418"/>
    <n v="28.65"/>
    <n v="28.73"/>
    <n v="28.42"/>
    <x v="2720"/>
    <n v="20.990787999999998"/>
    <n v="47669800"/>
  </r>
  <r>
    <x v="5419"/>
    <n v="28.559999000000001"/>
    <n v="29.01"/>
    <n v="28.549999"/>
    <x v="2684"/>
    <n v="21.307708999999999"/>
    <n v="45430800"/>
  </r>
  <r>
    <x v="5420"/>
    <n v="28.620000999999998"/>
    <n v="28.83"/>
    <n v="28.32"/>
    <x v="2782"/>
    <n v="20.961306"/>
    <n v="52160900"/>
  </r>
  <r>
    <x v="5421"/>
    <n v="28.67"/>
    <n v="28.75"/>
    <n v="28.41"/>
    <x v="2720"/>
    <n v="20.990787999999998"/>
    <n v="37247600"/>
  </r>
  <r>
    <x v="5422"/>
    <n v="28.629999000000002"/>
    <n v="28.950001"/>
    <n v="28.58"/>
    <x v="2688"/>
    <n v="21.322451000000001"/>
    <n v="34380800"/>
  </r>
  <r>
    <x v="5423"/>
    <n v="28.809999000000001"/>
    <n v="29.17"/>
    <n v="28.799999"/>
    <x v="2688"/>
    <n v="21.322451000000001"/>
    <n v="42364700"/>
  </r>
  <r>
    <x v="5424"/>
    <n v="29.120000999999998"/>
    <n v="29.26"/>
    <n v="28.959999"/>
    <x v="3035"/>
    <n v="21.491968"/>
    <n v="35288600"/>
  </r>
  <r>
    <x v="5425"/>
    <n v="28.98"/>
    <n v="29.110001"/>
    <n v="28.879999000000002"/>
    <x v="2523"/>
    <n v="21.403525999999999"/>
    <n v="33496600"/>
  </r>
  <r>
    <x v="5426"/>
    <n v="28.790001"/>
    <n v="28.879999000000002"/>
    <n v="28.620000999999998"/>
    <x v="2945"/>
    <n v="21.175049000000001"/>
    <n v="39536500"/>
  </r>
  <r>
    <x v="5427"/>
    <n v="28.700001"/>
    <n v="28.969999000000001"/>
    <n v="28.27"/>
    <x v="2688"/>
    <n v="21.322451000000001"/>
    <n v="77462400"/>
  </r>
  <r>
    <x v="5428"/>
    <n v="28.870000999999998"/>
    <n v="28.91"/>
    <n v="28.299999"/>
    <x v="3036"/>
    <n v="21.130827"/>
    <n v="94242200"/>
  </r>
  <r>
    <x v="5429"/>
    <n v="28.48"/>
    <n v="28.58"/>
    <n v="28.34"/>
    <x v="3037"/>
    <n v="20.946563999999999"/>
    <n v="67168900"/>
  </r>
  <r>
    <x v="5430"/>
    <n v="28.690000999999999"/>
    <n v="28.809999000000001"/>
    <n v="28.440000999999999"/>
    <x v="3038"/>
    <n v="21.116087"/>
    <n v="135636100"/>
  </r>
  <r>
    <x v="5431"/>
    <n v="28.809999000000001"/>
    <n v="29.610001"/>
    <n v="28.799999"/>
    <x v="2679"/>
    <n v="21.433009999999999"/>
    <n v="104459800"/>
  </r>
  <r>
    <x v="5432"/>
    <n v="29.139999"/>
    <n v="29.559999000000001"/>
    <n v="29.110001"/>
    <x v="2228"/>
    <n v="21.786787"/>
    <n v="75621000"/>
  </r>
  <r>
    <x v="5433"/>
    <n v="29.68"/>
    <n v="29.85"/>
    <n v="29.48"/>
    <x v="2125"/>
    <n v="21.742571000000002"/>
    <n v="60337000"/>
  </r>
  <r>
    <x v="5434"/>
    <n v="29.700001"/>
    <n v="29.719999000000001"/>
    <n v="29.440000999999999"/>
    <x v="3020"/>
    <n v="21.735195000000001"/>
    <n v="43407100"/>
  </r>
  <r>
    <x v="5435"/>
    <n v="29.49"/>
    <n v="29.690000999999999"/>
    <n v="29.23"/>
    <x v="2985"/>
    <n v="21.713079"/>
    <n v="45819100"/>
  </r>
  <r>
    <x v="5436"/>
    <n v="29.459999"/>
    <n v="29.790001"/>
    <n v="29.41"/>
    <x v="2812"/>
    <n v="21.941561"/>
    <n v="43875100"/>
  </r>
  <r>
    <x v="5437"/>
    <n v="29.700001"/>
    <n v="29.85"/>
    <n v="29.57"/>
    <x v="3039"/>
    <n v="21.889970999999999"/>
    <n v="33700900"/>
  </r>
  <r>
    <x v="5438"/>
    <n v="29.709999"/>
    <n v="29.85"/>
    <n v="29.290001"/>
    <x v="3040"/>
    <n v="21.705717"/>
    <n v="37633900"/>
  </r>
  <r>
    <x v="5439"/>
    <n v="29.559999000000001"/>
    <n v="29.77"/>
    <n v="29.440000999999999"/>
    <x v="3041"/>
    <n v="21.897345000000001"/>
    <n v="37868000"/>
  </r>
  <r>
    <x v="5440"/>
    <n v="29.889999"/>
    <n v="29.99"/>
    <n v="29.73"/>
    <x v="2141"/>
    <n v="21.993155999999999"/>
    <n v="45012300"/>
  </r>
  <r>
    <x v="5441"/>
    <n v="29.66"/>
    <n v="29.85"/>
    <n v="29.6"/>
    <x v="2141"/>
    <n v="21.993155999999999"/>
    <n v="30265400"/>
  </r>
  <r>
    <x v="5442"/>
    <n v="30.030000999999999"/>
    <n v="30.389999"/>
    <n v="30"/>
    <x v="3042"/>
    <n v="22.184788000000001"/>
    <n v="63603100"/>
  </r>
  <r>
    <x v="5443"/>
    <n v="30.040001"/>
    <n v="30.370000999999998"/>
    <n v="30.030000999999999"/>
    <x v="3043"/>
    <n v="22.280601999999998"/>
    <n v="32251500"/>
  </r>
  <r>
    <x v="5444"/>
    <n v="30.299999"/>
    <n v="30.629999000000002"/>
    <n v="29.790001"/>
    <x v="3044"/>
    <n v="22.044750000000001"/>
    <n v="50788400"/>
  </r>
  <r>
    <x v="5445"/>
    <n v="30.030000999999999"/>
    <n v="30.4"/>
    <n v="29.950001"/>
    <x v="3008"/>
    <n v="22.236376"/>
    <n v="31121100"/>
  </r>
  <r>
    <x v="5446"/>
    <n v="30.1"/>
    <n v="30.33"/>
    <n v="30"/>
    <x v="3045"/>
    <n v="22.140564000000001"/>
    <n v="47150500"/>
  </r>
  <r>
    <x v="5447"/>
    <n v="30.24"/>
    <n v="30.58"/>
    <n v="30.23"/>
    <x v="3046"/>
    <n v="22.346934999999998"/>
    <n v="56286200"/>
  </r>
  <r>
    <x v="5448"/>
    <n v="30.75"/>
    <n v="31.23"/>
    <n v="30.65"/>
    <x v="3047"/>
    <n v="22.907080000000001"/>
    <n v="86092400"/>
  </r>
  <r>
    <x v="5449"/>
    <n v="31.219999000000001"/>
    <n v="31.23"/>
    <n v="30.629999000000002"/>
    <x v="2326"/>
    <n v="22.966042999999999"/>
    <n v="49208600"/>
  </r>
  <r>
    <x v="5450"/>
    <n v="31.09"/>
    <n v="31.09"/>
    <n v="30.110001"/>
    <x v="3008"/>
    <n v="22.236376"/>
    <n v="75200200"/>
  </r>
  <r>
    <x v="5451"/>
    <n v="30.120000999999998"/>
    <n v="30.700001"/>
    <n v="30.120000999999998"/>
    <x v="3016"/>
    <n v="22.486975000000001"/>
    <n v="58785100"/>
  </r>
  <r>
    <x v="5452"/>
    <n v="30.709999"/>
    <n v="31.120000999999998"/>
    <n v="30.709999"/>
    <x v="3004"/>
    <n v="22.774415999999999"/>
    <n v="49956200"/>
  </r>
  <r>
    <x v="5453"/>
    <n v="30.85"/>
    <n v="31.299999"/>
    <n v="30.5"/>
    <x v="3048"/>
    <n v="23.032377"/>
    <n v="77979200"/>
  </r>
  <r>
    <x v="5454"/>
    <n v="31.57"/>
    <n v="32.220001000000003"/>
    <n v="31.49"/>
    <x v="3049"/>
    <n v="23.577781999999999"/>
    <n v="169588700"/>
  </r>
  <r>
    <x v="5455"/>
    <n v="36.009998000000003"/>
    <n v="36.029998999999997"/>
    <n v="34.560001"/>
    <x v="3050"/>
    <n v="25.818366999999999"/>
    <n v="288121200"/>
  </r>
  <r>
    <x v="5456"/>
    <n v="34.849997999999999"/>
    <n v="35.290000999999997"/>
    <n v="34.450001"/>
    <x v="3051"/>
    <n v="25.479337999999998"/>
    <n v="114655600"/>
  </r>
  <r>
    <x v="5457"/>
    <n v="34.369999"/>
    <n v="35.590000000000003"/>
    <n v="34.349997999999999"/>
    <x v="2189"/>
    <n v="26.216370000000001"/>
    <n v="107297300"/>
  </r>
  <r>
    <x v="5458"/>
    <n v="35.520000000000003"/>
    <n v="37"/>
    <n v="35.509998000000003"/>
    <x v="3052"/>
    <n v="27.130303999999999"/>
    <n v="185635800"/>
  </r>
  <r>
    <x v="5459"/>
    <n v="36.529998999999997"/>
    <n v="37.490001999999997"/>
    <n v="36.360000999999997"/>
    <x v="3053"/>
    <n v="27.314550000000001"/>
    <n v="152078800"/>
  </r>
  <r>
    <x v="5460"/>
    <n v="37.220001000000003"/>
    <n v="37.5"/>
    <n v="36.419998"/>
    <x v="3053"/>
    <n v="27.314550000000001"/>
    <n v="96389800"/>
  </r>
  <r>
    <x v="5461"/>
    <n v="36.759998000000003"/>
    <n v="37.099997999999999"/>
    <n v="36.630001"/>
    <x v="3054"/>
    <n v="27.071331000000001"/>
    <n v="75485400"/>
  </r>
  <r>
    <x v="5462"/>
    <n v="36.590000000000003"/>
    <n v="36.659999999999997"/>
    <n v="35.869999"/>
    <x v="3055"/>
    <n v="26.835484000000001"/>
    <n v="100966700"/>
  </r>
  <r>
    <x v="5463"/>
    <n v="36.040000999999997"/>
    <n v="36.159999999999997"/>
    <n v="35.450001"/>
    <x v="3056"/>
    <n v="26.179525000000002"/>
    <n v="74897800"/>
  </r>
  <r>
    <x v="5464"/>
    <n v="35.599997999999999"/>
    <n v="35.900002000000001"/>
    <n v="34.400002000000001"/>
    <x v="3057"/>
    <n v="25.604633"/>
    <n v="133742400"/>
  </r>
  <r>
    <x v="5465"/>
    <n v="34.18"/>
    <n v="34.540000999999997"/>
    <n v="33.650002000000001"/>
    <x v="3058"/>
    <n v="24.860223999999999"/>
    <n v="125136900"/>
  </r>
  <r>
    <x v="5466"/>
    <n v="33.32"/>
    <n v="33.709999000000003"/>
    <n v="33.020000000000003"/>
    <x v="2304"/>
    <n v="24.602271999999999"/>
    <n v="84865200"/>
  </r>
  <r>
    <x v="5467"/>
    <n v="33.540000999999997"/>
    <n v="34.669998"/>
    <n v="33.380001"/>
    <x v="3059"/>
    <n v="25.482240999999998"/>
    <n v="104311500"/>
  </r>
  <r>
    <x v="5468"/>
    <n v="34.619999"/>
    <n v="34.75"/>
    <n v="33.75"/>
    <x v="3060"/>
    <n v="25.090312999999998"/>
    <n v="84063100"/>
  </r>
  <r>
    <x v="5469"/>
    <n v="33.759998000000003"/>
    <n v="34.099997999999999"/>
    <n v="33.549999"/>
    <x v="3061"/>
    <n v="24.964601999999999"/>
    <n v="64014100"/>
  </r>
  <r>
    <x v="5470"/>
    <n v="33.860000999999997"/>
    <n v="34.259998000000003"/>
    <n v="33.709999000000003"/>
    <x v="3062"/>
    <n v="25.208632000000001"/>
    <n v="71113800"/>
  </r>
  <r>
    <x v="5471"/>
    <n v="33.959999000000003"/>
    <n v="34.240001999999997"/>
    <n v="33.869999"/>
    <x v="3063"/>
    <n v="25.112501000000002"/>
    <n v="63026200"/>
  </r>
  <r>
    <x v="5472"/>
    <n v="34.229999999999997"/>
    <n v="34.970001000000003"/>
    <n v="34.099997999999999"/>
    <x v="2161"/>
    <n v="25.570974"/>
    <n v="100009400"/>
  </r>
  <r>
    <x v="5473"/>
    <n v="34.400002000000001"/>
    <n v="34.729999999999997"/>
    <n v="34.18"/>
    <x v="3064"/>
    <n v="25.312159000000001"/>
    <n v="89518700"/>
  </r>
  <r>
    <x v="5474"/>
    <n v="34.360000999999997"/>
    <n v="34.439999"/>
    <n v="33.709999000000003"/>
    <x v="3065"/>
    <n v="25.223417000000001"/>
    <n v="33467200"/>
  </r>
  <r>
    <x v="5475"/>
    <n v="34.090000000000003"/>
    <n v="34.369999"/>
    <n v="32.93"/>
    <x v="3066"/>
    <n v="24.380426"/>
    <n v="80335000"/>
  </r>
  <r>
    <x v="5476"/>
    <n v="33.270000000000003"/>
    <n v="33.599997999999999"/>
    <n v="32.68"/>
    <x v="2281"/>
    <n v="24.446971999999999"/>
    <n v="84178400"/>
  </r>
  <r>
    <x v="5477"/>
    <n v="33.380001"/>
    <n v="33.889999000000003"/>
    <n v="32.900002000000001"/>
    <x v="3067"/>
    <n v="24.92024"/>
    <n v="88585000"/>
  </r>
  <r>
    <x v="5478"/>
    <n v="33.580002"/>
    <n v="33.93"/>
    <n v="33.310001"/>
    <x v="3068"/>
    <n v="24.838899999999999"/>
    <n v="53633600"/>
  </r>
  <r>
    <x v="5479"/>
    <n v="33.919998"/>
    <n v="34.119999"/>
    <n v="33.189999"/>
    <x v="3069"/>
    <n v="24.846291000000001"/>
    <n v="71027800"/>
  </r>
  <r>
    <x v="5480"/>
    <n v="33.5"/>
    <n v="33.639999000000003"/>
    <n v="32.68"/>
    <x v="3070"/>
    <n v="24.343451000000002"/>
    <n v="61770600"/>
  </r>
  <r>
    <x v="5481"/>
    <n v="32.740001999999997"/>
    <n v="33.240001999999997"/>
    <n v="32.630001"/>
    <x v="3071"/>
    <n v="24.232533"/>
    <n v="54801500"/>
  </r>
  <r>
    <x v="5482"/>
    <n v="33.139999000000003"/>
    <n v="34.520000000000003"/>
    <n v="33.029998999999997"/>
    <x v="3072"/>
    <n v="25.253005999999999"/>
    <n v="84894700"/>
  </r>
  <r>
    <x v="5483"/>
    <n v="34.259998000000003"/>
    <n v="34.610000999999997"/>
    <n v="33.869999"/>
    <x v="3073"/>
    <n v="25.548798000000001"/>
    <n v="49209700"/>
  </r>
  <r>
    <x v="5484"/>
    <n v="34.610000999999997"/>
    <n v="34.700001"/>
    <n v="34.220001000000003"/>
    <x v="3074"/>
    <n v="25.534006000000002"/>
    <n v="40771000"/>
  </r>
  <r>
    <x v="5485"/>
    <n v="34.639999000000003"/>
    <n v="34.950001"/>
    <n v="34.470001000000003"/>
    <x v="3075"/>
    <n v="25.704079"/>
    <n v="36083500"/>
  </r>
  <r>
    <x v="5486"/>
    <n v="34.729999999999997"/>
    <n v="34.990001999999997"/>
    <n v="33.93"/>
    <x v="3076"/>
    <n v="25.216028000000001"/>
    <n v="55070700"/>
  </r>
  <r>
    <x v="5487"/>
    <n v="34.610000999999997"/>
    <n v="35.090000000000003"/>
    <n v="33.93"/>
    <x v="3077"/>
    <n v="25.489639"/>
    <n v="63345400"/>
  </r>
  <r>
    <x v="5488"/>
    <n v="34.479999999999997"/>
    <n v="35.450001"/>
    <n v="34.279998999999997"/>
    <x v="3078"/>
    <n v="26.044235"/>
    <n v="73913200"/>
  </r>
  <r>
    <x v="5489"/>
    <n v="35.049999"/>
    <n v="35.840000000000003"/>
    <n v="35.009998000000003"/>
    <x v="3079"/>
    <n v="26.110792"/>
    <n v="71126200"/>
  </r>
  <r>
    <x v="5490"/>
    <n v="35.029998999999997"/>
    <n v="35.130001"/>
    <n v="34.360000999999997"/>
    <x v="3080"/>
    <n v="25.430472999999999"/>
    <n v="58121200"/>
  </r>
  <r>
    <x v="5491"/>
    <n v="34.639999000000003"/>
    <n v="35"/>
    <n v="34.209999000000003"/>
    <x v="3057"/>
    <n v="25.689292999999999"/>
    <n v="52791800"/>
  </r>
  <r>
    <x v="5492"/>
    <n v="34.689999"/>
    <n v="35.139999000000003"/>
    <n v="34.380001"/>
    <x v="3081"/>
    <n v="25.726265000000001"/>
    <n v="58469100"/>
  </r>
  <r>
    <x v="5493"/>
    <n v="35.290000999999997"/>
    <n v="35.790000999999997"/>
    <n v="35.080002"/>
    <x v="3056"/>
    <n v="26.266079000000001"/>
    <n v="59345000"/>
  </r>
  <r>
    <x v="5494"/>
    <n v="35.900002000000001"/>
    <n v="36.060001"/>
    <n v="35.75"/>
    <x v="2177"/>
    <n v="26.665393999999999"/>
    <n v="83240500"/>
  </r>
  <r>
    <x v="5495"/>
    <n v="36.130001"/>
    <n v="36.720001000000003"/>
    <n v="36.049999"/>
    <x v="3082"/>
    <n v="27.049917000000001"/>
    <n v="29622600"/>
  </r>
  <r>
    <x v="5496"/>
    <n v="36.409999999999997"/>
    <n v="36.639999000000003"/>
    <n v="36.259998000000003"/>
    <x v="3083"/>
    <n v="27.072104"/>
    <n v="30252400"/>
  </r>
  <r>
    <x v="5497"/>
    <n v="36.349997999999999"/>
    <n v="36.549999"/>
    <n v="35.939999"/>
    <x v="3084"/>
    <n v="26.598835000000001"/>
    <n v="33311100"/>
  </r>
  <r>
    <x v="5498"/>
    <n v="36.099997999999999"/>
    <n v="36.229999999999997"/>
    <n v="35.669998"/>
    <x v="3085"/>
    <n v="26.709755000000001"/>
    <n v="33447200"/>
  </r>
  <r>
    <x v="5499"/>
    <n v="35.900002000000001"/>
    <n v="35.990001999999997"/>
    <n v="35.520000000000003"/>
    <x v="3086"/>
    <n v="26.325233000000001"/>
    <n v="35229700"/>
  </r>
  <r>
    <x v="5500"/>
    <n v="35.790000999999997"/>
    <n v="35.959999000000003"/>
    <n v="35"/>
    <x v="3078"/>
    <n v="26.044235"/>
    <n v="63004200"/>
  </r>
  <r>
    <x v="5501"/>
    <n v="35.220001000000003"/>
    <n v="35.650002000000001"/>
    <n v="34.860000999999997"/>
    <x v="3087"/>
    <n v="26.155148000000001"/>
    <n v="49599600"/>
  </r>
  <r>
    <x v="5502"/>
    <n v="35.189999"/>
    <n v="35.200001"/>
    <n v="34.090000000000003"/>
    <x v="3088"/>
    <n v="25.423082000000001"/>
    <n v="72090800"/>
  </r>
  <r>
    <x v="5503"/>
    <n v="34.549999"/>
    <n v="34.799999"/>
    <n v="34.25"/>
    <x v="3089"/>
    <n v="25.593159"/>
    <n v="80164300"/>
  </r>
  <r>
    <x v="5504"/>
    <n v="34.709999000000003"/>
    <n v="34.709999000000003"/>
    <n v="33.400002000000001"/>
    <x v="3090"/>
    <n v="24.735368999999999"/>
    <n v="79148300"/>
  </r>
  <r>
    <x v="5505"/>
    <n v="33.360000999999997"/>
    <n v="34.540000999999997"/>
    <n v="33.349997999999999"/>
    <x v="3091"/>
    <n v="25.467441999999998"/>
    <n v="74305500"/>
  </r>
  <r>
    <x v="5506"/>
    <n v="34.349997999999999"/>
    <n v="34.5"/>
    <n v="33.779998999999997"/>
    <x v="3092"/>
    <n v="25.386105000000001"/>
    <n v="72446000"/>
  </r>
  <r>
    <x v="5507"/>
    <n v="34.139999000000003"/>
    <n v="34.240001999999997"/>
    <n v="33.720001000000003"/>
    <x v="3093"/>
    <n v="25.075527000000001"/>
    <n v="55187900"/>
  </r>
  <r>
    <x v="5508"/>
    <n v="34.459999000000003"/>
    <n v="34.57"/>
    <n v="34.080002"/>
    <x v="3080"/>
    <n v="25.430472999999999"/>
    <n v="52792200"/>
  </r>
  <r>
    <x v="5509"/>
    <n v="34.029998999999997"/>
    <n v="34.380001"/>
    <n v="34"/>
    <x v="1994"/>
    <n v="25.142081999999998"/>
    <n v="61606200"/>
  </r>
  <r>
    <x v="5510"/>
    <n v="33.419998"/>
    <n v="33.650002000000001"/>
    <n v="32.509998000000003"/>
    <x v="3094"/>
    <n v="24.572686999999998"/>
    <n v="120778500"/>
  </r>
  <r>
    <x v="5511"/>
    <n v="33.540000999999997"/>
    <n v="33.799999"/>
    <n v="32.970001000000003"/>
    <x v="3095"/>
    <n v="24.483955000000002"/>
    <n v="94247800"/>
  </r>
  <r>
    <x v="5512"/>
    <n v="33.159999999999997"/>
    <n v="34"/>
    <n v="32.970001000000003"/>
    <x v="3096"/>
    <n v="24.409996"/>
    <n v="117062000"/>
  </r>
  <r>
    <x v="5513"/>
    <n v="31.540001"/>
    <n v="32.529998999999997"/>
    <n v="31.5"/>
    <x v="3097"/>
    <n v="23.633555999999999"/>
    <n v="108521400"/>
  </r>
  <r>
    <x v="5514"/>
    <n v="31.48"/>
    <n v="32.049999"/>
    <n v="31.040001"/>
    <x v="3098"/>
    <n v="23.611374000000001"/>
    <n v="137597400"/>
  </r>
  <r>
    <x v="5515"/>
    <n v="32.349997999999999"/>
    <n v="33.360000999999997"/>
    <n v="32.119999"/>
    <x v="2198"/>
    <n v="24.587468999999999"/>
    <n v="155640400"/>
  </r>
  <r>
    <x v="5516"/>
    <n v="34.900002000000001"/>
    <n v="35"/>
    <n v="32.869999"/>
    <x v="3099"/>
    <n v="24.358238"/>
    <n v="196992300"/>
  </r>
  <r>
    <x v="5517"/>
    <n v="33.020000000000003"/>
    <n v="33.099997999999999"/>
    <n v="32.419998"/>
    <x v="3100"/>
    <n v="24.195554999999999"/>
    <n v="81019000"/>
  </r>
  <r>
    <x v="5518"/>
    <n v="32.849997999999999"/>
    <n v="32.889999000000003"/>
    <n v="32.349997999999999"/>
    <x v="3101"/>
    <n v="24.106812999999999"/>
    <n v="68023000"/>
  </r>
  <r>
    <x v="5519"/>
    <n v="32.560001"/>
    <n v="32.799999"/>
    <n v="32.049999"/>
    <x v="3102"/>
    <n v="23.811029000000001"/>
    <n v="106432600"/>
  </r>
  <r>
    <x v="5520"/>
    <n v="31.91"/>
    <n v="32.740001999999997"/>
    <n v="31.719999000000001"/>
    <x v="3101"/>
    <n v="24.106812999999999"/>
    <n v="103642200"/>
  </r>
  <r>
    <x v="5521"/>
    <n v="31.059999000000001"/>
    <n v="33.25"/>
    <n v="30.25"/>
    <x v="2976"/>
    <n v="22.516946999999998"/>
    <n v="291138900"/>
  </r>
  <r>
    <x v="5522"/>
    <n v="30.49"/>
    <n v="30.719999000000001"/>
    <n v="30.110001"/>
    <x v="2367"/>
    <n v="22.324687999999998"/>
    <n v="119998600"/>
  </r>
  <r>
    <x v="5523"/>
    <n v="29.91"/>
    <n v="29.940000999999999"/>
    <n v="28.889999"/>
    <x v="2672"/>
    <n v="21.496480999999999"/>
    <n v="137534100"/>
  </r>
  <r>
    <x v="5524"/>
    <n v="29.280000999999999"/>
    <n v="29.35"/>
    <n v="28.290001"/>
    <x v="2678"/>
    <n v="21.089769"/>
    <n v="138315600"/>
  </r>
  <r>
    <x v="5525"/>
    <n v="28.34"/>
    <n v="28.780000999999999"/>
    <n v="27.9"/>
    <x v="2799"/>
    <n v="20.793980000000001"/>
    <n v="164964900"/>
  </r>
  <r>
    <x v="5526"/>
    <n v="28.290001"/>
    <n v="29.08"/>
    <n v="28.24"/>
    <x v="2768"/>
    <n v="21.119347000000001"/>
    <n v="124872000"/>
  </r>
  <r>
    <x v="5527"/>
    <n v="28.52"/>
    <n v="28.610001"/>
    <n v="27.91"/>
    <x v="2714"/>
    <n v="20.860529"/>
    <n v="156814100"/>
  </r>
  <r>
    <x v="5528"/>
    <n v="28.43"/>
    <n v="28.620000999999998"/>
    <n v="28.110001"/>
    <x v="2507"/>
    <n v="20.956661"/>
    <n v="84365900"/>
  </r>
  <r>
    <x v="5529"/>
    <n v="28.620000999999998"/>
    <n v="29.049999"/>
    <n v="28.530000999999999"/>
    <x v="3030"/>
    <n v="21.415133999999998"/>
    <n v="88986200"/>
  </r>
  <r>
    <x v="5530"/>
    <n v="28.879999000000002"/>
    <n v="29.040001"/>
    <n v="28.459999"/>
    <x v="2670"/>
    <n v="21.074974000000001"/>
    <n v="69113500"/>
  </r>
  <r>
    <x v="5531"/>
    <n v="28.309999000000001"/>
    <n v="28.639999"/>
    <n v="28.25"/>
    <x v="3037"/>
    <n v="21.015820999999999"/>
    <n v="68166100"/>
  </r>
  <r>
    <x v="5532"/>
    <n v="28.799999"/>
    <n v="28.84"/>
    <n v="28.07"/>
    <x v="2801"/>
    <n v="20.911898000000001"/>
    <n v="68261200"/>
  </r>
  <r>
    <x v="5533"/>
    <n v="28.15"/>
    <n v="28.26"/>
    <n v="27.92"/>
    <x v="2253"/>
    <n v="20.949009"/>
    <n v="93056200"/>
  </r>
  <r>
    <x v="5534"/>
    <n v="28.620000999999998"/>
    <n v="28.959999"/>
    <n v="27.959999"/>
    <x v="2719"/>
    <n v="20.859929999999999"/>
    <n v="98776500"/>
  </r>
  <r>
    <x v="5535"/>
    <n v="28.24"/>
    <n v="28.389999"/>
    <n v="27.200001"/>
    <x v="2513"/>
    <n v="20.548143"/>
    <n v="125705400"/>
  </r>
  <r>
    <x v="5536"/>
    <n v="27.65"/>
    <n v="28.24"/>
    <n v="27.48"/>
    <x v="2419"/>
    <n v="20.666910000000001"/>
    <n v="109974300"/>
  </r>
  <r>
    <x v="5537"/>
    <n v="27.74"/>
    <n v="28.860001"/>
    <n v="27.67"/>
    <x v="2666"/>
    <n v="21.067781"/>
    <n v="108923500"/>
  </r>
  <r>
    <x v="5538"/>
    <n v="28.190000999999999"/>
    <n v="28.68"/>
    <n v="28.1"/>
    <x v="3032"/>
    <n v="20.978708000000001"/>
    <n v="75199500"/>
  </r>
  <r>
    <x v="5539"/>
    <n v="28.02"/>
    <n v="28.27"/>
    <n v="27.799999"/>
    <x v="3033"/>
    <n v="20.733727999999999"/>
    <n v="83002900"/>
  </r>
  <r>
    <x v="5540"/>
    <n v="27.690000999999999"/>
    <n v="27.83"/>
    <n v="27.02"/>
    <x v="2691"/>
    <n v="20.191814000000001"/>
    <n v="117411400"/>
  </r>
  <r>
    <x v="5541"/>
    <n v="27.24"/>
    <n v="27.389999"/>
    <n v="26.870000999999998"/>
    <x v="2731"/>
    <n v="20.035920999999998"/>
    <n v="76544300"/>
  </r>
  <r>
    <x v="5542"/>
    <n v="27.02"/>
    <n v="27.629999000000002"/>
    <n v="26.959999"/>
    <x v="3103"/>
    <n v="20.481338999999998"/>
    <n v="86925600"/>
  </r>
  <r>
    <x v="5543"/>
    <n v="27.75"/>
    <n v="28.41"/>
    <n v="27.700001"/>
    <x v="2799"/>
    <n v="20.874773000000001"/>
    <n v="106489800"/>
  </r>
  <r>
    <x v="5544"/>
    <n v="28.059999000000001"/>
    <n v="28.17"/>
    <n v="27.5"/>
    <x v="2716"/>
    <n v="20.466474999999999"/>
    <n v="91127700"/>
  </r>
  <r>
    <x v="5545"/>
    <n v="27.34"/>
    <n v="28.07"/>
    <n v="27.32"/>
    <x v="2399"/>
    <n v="20.689191999999998"/>
    <n v="77597600"/>
  </r>
  <r>
    <x v="5546"/>
    <n v="27.83"/>
    <n v="28.26"/>
    <n v="27.75"/>
    <x v="2235"/>
    <n v="20.822808999999999"/>
    <n v="72175100"/>
  </r>
  <r>
    <x v="5547"/>
    <n v="28.4"/>
    <n v="29.34"/>
    <n v="28.379999000000002"/>
    <x v="2811"/>
    <n v="21.735903"/>
    <n v="98740700"/>
  </r>
  <r>
    <x v="5548"/>
    <n v="29.43"/>
    <n v="29.49"/>
    <n v="28.540001"/>
    <x v="2769"/>
    <n v="21.253371999999999"/>
    <n v="75993800"/>
  </r>
  <r>
    <x v="5549"/>
    <n v="28.540001"/>
    <n v="28.99"/>
    <n v="28.16"/>
    <x v="3104"/>
    <n v="21.245944999999999"/>
    <n v="84552200"/>
  </r>
  <r>
    <x v="5550"/>
    <n v="28.719999000000001"/>
    <n v="29.01"/>
    <n v="27.639999"/>
    <x v="2546"/>
    <n v="20.755989"/>
    <n v="105214900"/>
  </r>
  <r>
    <x v="5551"/>
    <n v="27.299999"/>
    <n v="28.73"/>
    <n v="27.280000999999999"/>
    <x v="2664"/>
    <n v="21.008396000000001"/>
    <n v="84490100"/>
  </r>
  <r>
    <x v="5552"/>
    <n v="28.67"/>
    <n v="29.48"/>
    <n v="28.67"/>
    <x v="3105"/>
    <n v="21.839827"/>
    <n v="83695300"/>
  </r>
  <r>
    <x v="5553"/>
    <n v="29.379999000000002"/>
    <n v="29.59"/>
    <n v="28.620000999999998"/>
    <x v="3104"/>
    <n v="21.245944999999999"/>
    <n v="61442100"/>
  </r>
  <r>
    <x v="5554"/>
    <n v="28.74"/>
    <n v="29.219999000000001"/>
    <n v="28.59"/>
    <x v="3106"/>
    <n v="21.661664999999999"/>
    <n v="60170200"/>
  </r>
  <r>
    <x v="5555"/>
    <n v="29.33"/>
    <n v="29.4"/>
    <n v="29.059999000000001"/>
    <x v="2347"/>
    <n v="21.654240000000001"/>
    <n v="48294700"/>
  </r>
  <r>
    <x v="5556"/>
    <n v="29.33"/>
    <n v="29.370000999999998"/>
    <n v="28.940000999999999"/>
    <x v="2681"/>
    <n v="21.631969000000002"/>
    <n v="49149000"/>
  </r>
  <r>
    <x v="5557"/>
    <n v="29.030000999999999"/>
    <n v="29.07"/>
    <n v="28.379999000000002"/>
    <x v="2768"/>
    <n v="21.201408000000001"/>
    <n v="45868100"/>
  </r>
  <r>
    <x v="5558"/>
    <n v="28.48"/>
    <n v="28.49"/>
    <n v="28"/>
    <x v="2235"/>
    <n v="20.822808999999999"/>
    <n v="47894400"/>
  </r>
  <r>
    <x v="5559"/>
    <n v="28.23"/>
    <n v="28.43"/>
    <n v="27.83"/>
    <x v="2723"/>
    <n v="20.718882000000001"/>
    <n v="49244000"/>
  </r>
  <r>
    <x v="5560"/>
    <n v="27.879999000000002"/>
    <n v="28.59"/>
    <n v="27.84"/>
    <x v="2666"/>
    <n v="21.067781"/>
    <n v="46780600"/>
  </r>
  <r>
    <x v="5561"/>
    <n v="28.83"/>
    <n v="29.540001"/>
    <n v="28.629999000000002"/>
    <x v="2125"/>
    <n v="21.89922"/>
    <n v="65796200"/>
  </r>
  <r>
    <x v="5562"/>
    <n v="29.57"/>
    <n v="29.58"/>
    <n v="29"/>
    <x v="3035"/>
    <n v="21.646811"/>
    <n v="49499400"/>
  </r>
  <r>
    <x v="5563"/>
    <n v="29"/>
    <n v="29.32"/>
    <n v="28.799999"/>
    <x v="2779"/>
    <n v="21.528037999999999"/>
    <n v="38961400"/>
  </r>
  <r>
    <x v="5564"/>
    <n v="29.129999000000002"/>
    <n v="29.26"/>
    <n v="28.74"/>
    <x v="3035"/>
    <n v="21.646811"/>
    <n v="43860800"/>
  </r>
  <r>
    <x v="5565"/>
    <n v="29.549999"/>
    <n v="29.59"/>
    <n v="29.030000999999999"/>
    <x v="3035"/>
    <n v="21.646811"/>
    <n v="44428600"/>
  </r>
  <r>
    <x v="5566"/>
    <n v="28.940000999999999"/>
    <n v="29"/>
    <n v="28.540001"/>
    <x v="3107"/>
    <n v="21.342448999999998"/>
    <n v="44733500"/>
  </r>
  <r>
    <x v="5567"/>
    <n v="28.719999000000001"/>
    <n v="29.040001"/>
    <n v="28.540001"/>
    <x v="2690"/>
    <n v="21.446373000000001"/>
    <n v="45839300"/>
  </r>
  <r>
    <x v="5568"/>
    <n v="28.83"/>
    <n v="29.4"/>
    <n v="28.799999"/>
    <x v="2520"/>
    <n v="21.609694999999999"/>
    <n v="65591600"/>
  </r>
  <r>
    <x v="5569"/>
    <n v="28.870000999999998"/>
    <n v="29.01"/>
    <n v="28.209999"/>
    <x v="2767"/>
    <n v="20.993549000000002"/>
    <n v="54373700"/>
  </r>
  <r>
    <x v="5570"/>
    <n v="28.24"/>
    <n v="28.309999000000001"/>
    <n v="27.93"/>
    <x v="2786"/>
    <n v="20.830233"/>
    <n v="43418100"/>
  </r>
  <r>
    <x v="5571"/>
    <n v="28.120000999999998"/>
    <n v="28.48"/>
    <n v="28.030000999999999"/>
    <x v="1636"/>
    <n v="20.971278999999999"/>
    <n v="34310000"/>
  </r>
  <r>
    <x v="5572"/>
    <n v="28.57"/>
    <n v="29.049999"/>
    <n v="28.379999000000002"/>
    <x v="2263"/>
    <n v="21.490925000000001"/>
    <n v="54107400"/>
  </r>
  <r>
    <x v="5573"/>
    <n v="29.120000999999998"/>
    <n v="29.34"/>
    <n v="28.9"/>
    <x v="3108"/>
    <n v="21.691358999999999"/>
    <n v="48743300"/>
  </r>
  <r>
    <x v="5574"/>
    <n v="30.01"/>
    <n v="30.1"/>
    <n v="29.610001"/>
    <x v="3031"/>
    <n v="22.270385999999998"/>
    <n v="73658900"/>
  </r>
  <r>
    <x v="5575"/>
    <n v="30.190000999999999"/>
    <n v="30.6"/>
    <n v="30.120000999999998"/>
    <x v="3109"/>
    <n v="22.582169"/>
    <n v="54411700"/>
  </r>
  <r>
    <x v="5576"/>
    <n v="30.639999"/>
    <n v="30.700001"/>
    <n v="29.969999000000001"/>
    <x v="3110"/>
    <n v="22.455973"/>
    <n v="67387500"/>
  </r>
  <r>
    <x v="5577"/>
    <n v="30.450001"/>
    <n v="31.459999"/>
    <n v="30.299999"/>
    <x v="3111"/>
    <n v="23.346788"/>
    <n v="98351500"/>
  </r>
  <r>
    <x v="5578"/>
    <n v="31.629999000000002"/>
    <n v="32.099997999999999"/>
    <n v="31.16"/>
    <x v="3112"/>
    <n v="23.606607"/>
    <n v="115416700"/>
  </r>
  <r>
    <x v="5579"/>
    <n v="30.049999"/>
    <n v="30.389999"/>
    <n v="29.6"/>
    <x v="3023"/>
    <n v="22.144192"/>
    <n v="145194900"/>
  </r>
  <r>
    <x v="5580"/>
    <n v="29.799999"/>
    <n v="29.84"/>
    <n v="28.82"/>
    <x v="2961"/>
    <n v="21.520613000000001"/>
    <n v="97473000"/>
  </r>
  <r>
    <x v="5581"/>
    <n v="28.799999"/>
    <n v="28.9"/>
    <n v="28.450001"/>
    <x v="2368"/>
    <n v="21.260794000000001"/>
    <n v="84428900"/>
  </r>
  <r>
    <x v="5582"/>
    <n v="28.74"/>
    <n v="29.209999"/>
    <n v="28.51"/>
    <x v="2678"/>
    <n v="21.171714999999999"/>
    <n v="74733600"/>
  </r>
  <r>
    <x v="5583"/>
    <n v="28.5"/>
    <n v="29.49"/>
    <n v="28.48"/>
    <x v="2951"/>
    <n v="21.824985999999999"/>
    <n v="71699400"/>
  </r>
  <r>
    <x v="5584"/>
    <n v="29.59"/>
    <n v="29.620000999999998"/>
    <n v="28.860001"/>
    <x v="2948"/>
    <n v="21.706198000000001"/>
    <n v="66024200"/>
  </r>
  <r>
    <x v="5585"/>
    <n v="29.93"/>
    <n v="30.23"/>
    <n v="28.99"/>
    <x v="2679"/>
    <n v="21.587430999999999"/>
    <n v="119687700"/>
  </r>
  <r>
    <x v="5586"/>
    <n v="29"/>
    <n v="29.860001"/>
    <n v="28.93"/>
    <x v="3039"/>
    <n v="22.04768"/>
    <n v="93582000"/>
  </r>
  <r>
    <x v="5587"/>
    <n v="29.690000999999999"/>
    <n v="30.139999"/>
    <n v="29.08"/>
    <x v="3113"/>
    <n v="21.683933"/>
    <n v="88775000"/>
  </r>
  <r>
    <x v="5588"/>
    <n v="29.280000999999999"/>
    <n v="29.389999"/>
    <n v="29"/>
    <x v="3114"/>
    <n v="21.728470000000002"/>
    <n v="69589900"/>
  </r>
  <r>
    <x v="5589"/>
    <n v="29.209999"/>
    <n v="29.549999"/>
    <n v="28.950001"/>
    <x v="2956"/>
    <n v="21.817557999999998"/>
    <n v="51621200"/>
  </r>
  <r>
    <x v="5590"/>
    <n v="29.4"/>
    <n v="30.059999000000001"/>
    <n v="29.35"/>
    <x v="2965"/>
    <n v="22.262965999999999"/>
    <n v="64278800"/>
  </r>
  <r>
    <x v="5591"/>
    <n v="30"/>
    <n v="30.129999000000002"/>
    <n v="29.530000999999999"/>
    <x v="3115"/>
    <n v="22.188457"/>
    <n v="70934700"/>
  </r>
  <r>
    <x v="5592"/>
    <n v="29.889999"/>
    <n v="30.26"/>
    <n v="29.73"/>
    <x v="2970"/>
    <n v="22.300215000000001"/>
    <n v="66730400"/>
  </r>
  <r>
    <x v="5593"/>
    <n v="29.98"/>
    <n v="30.530000999999999"/>
    <n v="29.940000999999999"/>
    <x v="2976"/>
    <n v="22.687656"/>
    <n v="53355800"/>
  </r>
  <r>
    <x v="5594"/>
    <n v="30.469999000000001"/>
    <n v="30.48"/>
    <n v="29.92"/>
    <x v="2965"/>
    <n v="22.344920999999999"/>
    <n v="81538200"/>
  </r>
  <r>
    <x v="5595"/>
    <n v="29.870000999999998"/>
    <n v="29.889999"/>
    <n v="29.309999000000001"/>
    <x v="2985"/>
    <n v="21.950023999999999"/>
    <n v="59615000"/>
  </r>
  <r>
    <x v="5596"/>
    <n v="29.299999"/>
    <n v="29.309999000000001"/>
    <n v="28.629999000000002"/>
    <x v="3116"/>
    <n v="21.428473"/>
    <n v="75767600"/>
  </r>
  <r>
    <x v="5597"/>
    <n v="28.809999000000001"/>
    <n v="29.049999"/>
    <n v="28.190000999999999"/>
    <x v="1636"/>
    <n v="21.048480999999999"/>
    <n v="60125100"/>
  </r>
  <r>
    <x v="5598"/>
    <n v="28.280000999999999"/>
    <n v="28.700001"/>
    <n v="28.18"/>
    <x v="2233"/>
    <n v="21.212392999999999"/>
    <n v="52203100"/>
  </r>
  <r>
    <x v="5599"/>
    <n v="28.26"/>
    <n v="28.33"/>
    <n v="27.950001"/>
    <x v="2235"/>
    <n v="20.899467000000001"/>
    <n v="48890700"/>
  </r>
  <r>
    <x v="5600"/>
    <n v="28.110001"/>
    <n v="28.5"/>
    <n v="28.049999"/>
    <x v="2782"/>
    <n v="21.190045999999999"/>
    <n v="47334500"/>
  </r>
  <r>
    <x v="5601"/>
    <n v="28.559999000000001"/>
    <n v="28.57"/>
    <n v="28.040001"/>
    <x v="2804"/>
    <n v="20.996338000000002"/>
    <n v="52318500"/>
  </r>
  <r>
    <x v="5602"/>
    <n v="28.209999"/>
    <n v="28.68"/>
    <n v="28.139999"/>
    <x v="2518"/>
    <n v="21.093184999999998"/>
    <n v="47699200"/>
  </r>
  <r>
    <x v="5603"/>
    <n v="28.379999000000002"/>
    <n v="28.700001"/>
    <n v="28.200001"/>
    <x v="2778"/>
    <n v="21.100636000000002"/>
    <n v="63399200"/>
  </r>
  <r>
    <x v="5604"/>
    <n v="28.24"/>
    <n v="28.360001"/>
    <n v="27.549999"/>
    <x v="2677"/>
    <n v="20.713191999999999"/>
    <n v="77028400"/>
  </r>
  <r>
    <x v="5605"/>
    <n v="27.91"/>
    <n v="28.309999000000001"/>
    <n v="27.27"/>
    <x v="2641"/>
    <n v="20.348106000000001"/>
    <n v="86616700"/>
  </r>
  <r>
    <x v="5606"/>
    <n v="27.280000999999999"/>
    <n v="27.639999"/>
    <n v="27.200001"/>
    <x v="2717"/>
    <n v="20.519477999999999"/>
    <n v="79567400"/>
  </r>
  <r>
    <x v="5607"/>
    <n v="27.719999000000001"/>
    <n v="28.299999"/>
    <n v="27.6"/>
    <x v="2664"/>
    <n v="21.085732"/>
    <n v="76063400"/>
  </r>
  <r>
    <x v="5608"/>
    <n v="27.99"/>
    <n v="28.17"/>
    <n v="27.49"/>
    <x v="2794"/>
    <n v="20.482222"/>
    <n v="78500800"/>
  </r>
  <r>
    <x v="5609"/>
    <n v="27.65"/>
    <n v="27.91"/>
    <n v="27.299999"/>
    <x v="2722"/>
    <n v="20.646141"/>
    <n v="66787100"/>
  </r>
  <r>
    <x v="5610"/>
    <n v="27.360001"/>
    <n v="28.290001"/>
    <n v="27.32"/>
    <x v="2773"/>
    <n v="20.780256000000001"/>
    <n v="77433900"/>
  </r>
  <r>
    <x v="5611"/>
    <n v="27.85"/>
    <n v="27.940000999999999"/>
    <n v="27.110001"/>
    <x v="2544"/>
    <n v="20.206551000000001"/>
    <n v="59330800"/>
  </r>
  <r>
    <x v="5612"/>
    <n v="27.4"/>
    <n v="28.549999"/>
    <n v="27.190000999999999"/>
    <x v="2675"/>
    <n v="21.041035000000001"/>
    <n v="113996300"/>
  </r>
  <r>
    <x v="5613"/>
    <n v="28.629999000000002"/>
    <n v="29.57"/>
    <n v="28.5"/>
    <x v="2672"/>
    <n v="21.659443"/>
    <n v="131969100"/>
  </r>
  <r>
    <x v="5614"/>
    <n v="29.02"/>
    <n v="29.110001"/>
    <n v="28.639999"/>
    <x v="2688"/>
    <n v="21.555140999999999"/>
    <n v="74718900"/>
  </r>
  <r>
    <x v="5615"/>
    <n v="29.040001"/>
    <n v="29.120000999999998"/>
    <n v="28.790001"/>
    <x v="2721"/>
    <n v="21.458271"/>
    <n v="44256700"/>
  </r>
  <r>
    <x v="5616"/>
    <n v="28.549999"/>
    <n v="28.860001"/>
    <n v="28.459999"/>
    <x v="2674"/>
    <n v="21.204951999999999"/>
    <n v="49677800"/>
  </r>
  <r>
    <x v="5617"/>
    <n v="28.549999"/>
    <n v="29.190000999999999"/>
    <n v="28.33"/>
    <x v="2688"/>
    <n v="21.555140999999999"/>
    <n v="62037800"/>
  </r>
  <r>
    <x v="5618"/>
    <n v="28.9"/>
    <n v="28.92"/>
    <n v="28.1"/>
    <x v="3117"/>
    <n v="21.033583"/>
    <n v="97480400"/>
  </r>
  <r>
    <x v="5619"/>
    <n v="28.299999"/>
    <n v="28.41"/>
    <n v="27.790001"/>
    <x v="2808"/>
    <n v="20.839859000000001"/>
    <n v="57145300"/>
  </r>
  <r>
    <x v="5620"/>
    <n v="27.92"/>
    <n v="28.01"/>
    <n v="27.51"/>
    <x v="3118"/>
    <n v="20.661037"/>
    <n v="65218300"/>
  </r>
  <r>
    <x v="5621"/>
    <n v="27.809999000000001"/>
    <n v="28.67"/>
    <n v="27.76"/>
    <x v="2763"/>
    <n v="21.122993000000001"/>
    <n v="64280200"/>
  </r>
  <r>
    <x v="5622"/>
    <n v="28.030000999999999"/>
    <n v="28.200001"/>
    <n v="27.75"/>
    <x v="1627"/>
    <n v="20.675947000000001"/>
    <n v="67049100"/>
  </r>
  <r>
    <x v="5623"/>
    <n v="27.68"/>
    <n v="27.91"/>
    <n v="27.459999"/>
    <x v="2807"/>
    <n v="20.586535999999999"/>
    <n v="73450200"/>
  </r>
  <r>
    <x v="5624"/>
    <n v="27.73"/>
    <n v="27.98"/>
    <n v="27.49"/>
    <x v="2797"/>
    <n v="20.497129000000001"/>
    <n v="57830500"/>
  </r>
  <r>
    <x v="5625"/>
    <n v="27.27"/>
    <n v="27.379999000000002"/>
    <n v="26.440000999999999"/>
    <x v="2866"/>
    <n v="20.020278999999999"/>
    <n v="100327800"/>
  </r>
  <r>
    <x v="5626"/>
    <n v="26.9"/>
    <n v="27"/>
    <n v="25.879999000000002"/>
    <x v="3119"/>
    <n v="19.282646"/>
    <n v="84669000"/>
  </r>
  <r>
    <x v="5627"/>
    <n v="25.969999000000001"/>
    <n v="26.1"/>
    <n v="25.6"/>
    <x v="2694"/>
    <n v="19.357151000000002"/>
    <n v="37074500"/>
  </r>
  <r>
    <x v="5628"/>
    <n v="26.110001"/>
    <n v="26.389999"/>
    <n v="25.450001"/>
    <x v="3120"/>
    <n v="19.394407000000001"/>
    <n v="71527600"/>
  </r>
  <r>
    <x v="5629"/>
    <n v="25.93"/>
    <n v="26.200001"/>
    <n v="25.51"/>
    <x v="2539"/>
    <n v="19.260296"/>
    <n v="65553200"/>
  </r>
  <r>
    <x v="5630"/>
    <n v="25.790001"/>
    <n v="25.85"/>
    <n v="25.18"/>
    <x v="2835"/>
    <n v="18.79834"/>
    <n v="54255800"/>
  </r>
  <r>
    <x v="5631"/>
    <n v="25.200001"/>
    <n v="25.67"/>
    <n v="24.98"/>
    <x v="2701"/>
    <n v="18.962259"/>
    <n v="57830600"/>
  </r>
  <r>
    <x v="5632"/>
    <n v="25.16"/>
    <n v="25.639999"/>
    <n v="24.870000999999998"/>
    <x v="2590"/>
    <n v="18.813253"/>
    <n v="69532600"/>
  </r>
  <r>
    <x v="5633"/>
    <n v="25.48"/>
    <n v="25.809999000000001"/>
    <n v="25.07"/>
    <x v="2696"/>
    <n v="18.738747"/>
    <n v="51216200"/>
  </r>
  <r>
    <x v="5634"/>
    <n v="24.93"/>
    <n v="26.639999"/>
    <n v="24.93"/>
    <x v="2637"/>
    <n v="19.483820000000001"/>
    <n v="92719300"/>
  </r>
  <r>
    <x v="5635"/>
    <n v="26.129999000000002"/>
    <n v="27.290001"/>
    <n v="25.92"/>
    <x v="2663"/>
    <n v="20.310849999999999"/>
    <n v="82060400"/>
  </r>
  <r>
    <x v="5636"/>
    <n v="27.58"/>
    <n v="27.91"/>
    <n v="27.110001"/>
    <x v="2644"/>
    <n v="20.504576"/>
    <n v="96526100"/>
  </r>
  <r>
    <x v="5637"/>
    <n v="26.360001"/>
    <n v="26.469999000000001"/>
    <n v="25.110001"/>
    <x v="2609"/>
    <n v="19.267745999999999"/>
    <n v="150277000"/>
  </r>
  <r>
    <x v="5638"/>
    <n v="25.66"/>
    <n v="26.17"/>
    <n v="25.530000999999999"/>
    <x v="2636"/>
    <n v="19.103829999999999"/>
    <n v="77575600"/>
  </r>
  <r>
    <x v="5639"/>
    <n v="25.540001"/>
    <n v="25.940000999999999"/>
    <n v="25.48"/>
    <x v="2606"/>
    <n v="19.223040000000001"/>
    <n v="88657200"/>
  </r>
  <r>
    <x v="5640"/>
    <n v="25.860001"/>
    <n v="26.84"/>
    <n v="25.85"/>
    <x v="2761"/>
    <n v="19.692437999999999"/>
    <n v="79408800"/>
  </r>
  <r>
    <x v="5641"/>
    <n v="26.09"/>
    <n v="26.17"/>
    <n v="25.440000999999999"/>
    <x v="3121"/>
    <n v="18.954809000000001"/>
    <n v="81092600"/>
  </r>
  <r>
    <x v="5642"/>
    <n v="25.639999"/>
    <n v="26.219999000000001"/>
    <n v="25.5"/>
    <x v="2405"/>
    <n v="19.491271999999999"/>
    <n v="58682300"/>
  </r>
  <r>
    <x v="5643"/>
    <n v="26.059999000000001"/>
    <n v="26.110001"/>
    <n v="25.34"/>
    <x v="2553"/>
    <n v="18.999516"/>
    <n v="59707800"/>
  </r>
  <r>
    <x v="5644"/>
    <n v="25.52"/>
    <n v="26.190000999999999"/>
    <n v="25.4"/>
    <x v="2461"/>
    <n v="19.454014000000001"/>
    <n v="66368200"/>
  </r>
  <r>
    <x v="5645"/>
    <n v="26.200001"/>
    <n v="26.49"/>
    <n v="25.9"/>
    <x v="2651"/>
    <n v="19.543423000000001"/>
    <n v="51977700"/>
  </r>
  <r>
    <x v="5646"/>
    <n v="25.85"/>
    <n v="26.280000999999999"/>
    <n v="25.709999"/>
    <x v="2430"/>
    <n v="19.163429000000001"/>
    <n v="60461000"/>
  </r>
  <r>
    <x v="5647"/>
    <n v="25.92"/>
    <n v="25.950001"/>
    <n v="25.07"/>
    <x v="3121"/>
    <n v="18.954809000000001"/>
    <n v="82720200"/>
  </r>
  <r>
    <x v="5648"/>
    <n v="25.389999"/>
    <n v="25.549999"/>
    <n v="25.110001"/>
    <x v="2836"/>
    <n v="18.835598000000001"/>
    <n v="60588300"/>
  </r>
  <r>
    <x v="5649"/>
    <n v="25.639999"/>
    <n v="26.280000999999999"/>
    <n v="25.5"/>
    <x v="3122"/>
    <n v="19.528513"/>
    <n v="84297600"/>
  </r>
  <r>
    <x v="5650"/>
    <n v="26.73"/>
    <n v="27.16"/>
    <n v="26.379999000000002"/>
    <x v="2729"/>
    <n v="20.132041999999998"/>
    <n v="95550000"/>
  </r>
  <r>
    <x v="5651"/>
    <n v="26.9"/>
    <n v="27.75"/>
    <n v="26.73"/>
    <x v="2792"/>
    <n v="20.407713000000001"/>
    <n v="82565800"/>
  </r>
  <r>
    <x v="5652"/>
    <n v="27.35"/>
    <n v="28.23"/>
    <n v="27.190000999999999"/>
    <x v="2775"/>
    <n v="20.959071999999999"/>
    <n v="80814100"/>
  </r>
  <r>
    <x v="5653"/>
    <n v="27.860001"/>
    <n v="28.4"/>
    <n v="27.66"/>
    <x v="2543"/>
    <n v="20.787706"/>
    <n v="68743800"/>
  </r>
  <r>
    <x v="5654"/>
    <n v="27.780000999999999"/>
    <n v="28.360001"/>
    <n v="27.58"/>
    <x v="2799"/>
    <n v="20.951619999999998"/>
    <n v="62813000"/>
  </r>
  <r>
    <x v="5655"/>
    <n v="28.07"/>
    <n v="28.5"/>
    <n v="27.76"/>
    <x v="2723"/>
    <n v="20.795159999999999"/>
    <n v="51165200"/>
  </r>
  <r>
    <x v="5656"/>
    <n v="27.82"/>
    <n v="28.280000999999999"/>
    <n v="27.559999000000001"/>
    <x v="2723"/>
    <n v="20.795159999999999"/>
    <n v="49732300"/>
  </r>
  <r>
    <x v="5657"/>
    <n v="27.98"/>
    <n v="28.15"/>
    <n v="27.58"/>
    <x v="2718"/>
    <n v="20.720649999999999"/>
    <n v="47267400"/>
  </r>
  <r>
    <x v="5658"/>
    <n v="27.780000999999999"/>
    <n v="28.049999"/>
    <n v="27.549999"/>
    <x v="2879"/>
    <n v="20.631235"/>
    <n v="38078200"/>
  </r>
  <r>
    <x v="5659"/>
    <n v="27.540001"/>
    <n v="27.75"/>
    <n v="27.27"/>
    <x v="2762"/>
    <n v="20.436748999999999"/>
    <n v="40332900"/>
  </r>
  <r>
    <x v="5660"/>
    <n v="27.540001"/>
    <n v="27.58"/>
    <n v="27.17"/>
    <x v="2725"/>
    <n v="20.414304999999999"/>
    <n v="41497200"/>
  </r>
  <r>
    <x v="5661"/>
    <n v="27.1"/>
    <n v="27.23"/>
    <n v="26.860001"/>
    <x v="2421"/>
    <n v="20.332007999999998"/>
    <n v="43614200"/>
  </r>
  <r>
    <x v="5662"/>
    <n v="27.23"/>
    <n v="27.879999000000002"/>
    <n v="27.219999000000001"/>
    <x v="2419"/>
    <n v="20.825733"/>
    <n v="47930400"/>
  </r>
  <r>
    <x v="5663"/>
    <n v="27.610001"/>
    <n v="27.84"/>
    <n v="27.459999"/>
    <x v="2715"/>
    <n v="20.691084"/>
    <n v="51381300"/>
  </r>
  <r>
    <x v="5664"/>
    <n v="27.58"/>
    <n v="27.719999000000001"/>
    <n v="27.17"/>
    <x v="2643"/>
    <n v="20.399342999999998"/>
    <n v="44774400"/>
  </r>
  <r>
    <x v="5665"/>
    <n v="27.34"/>
    <n v="27.790001"/>
    <n v="27.129999000000002"/>
    <x v="2888"/>
    <n v="20.61628"/>
    <n v="33975300"/>
  </r>
  <r>
    <x v="5666"/>
    <n v="27.610001"/>
    <n v="28.01"/>
    <n v="27.6"/>
    <x v="2941"/>
    <n v="20.900534"/>
    <n v="48372600"/>
  </r>
  <r>
    <x v="5667"/>
    <n v="27.68"/>
    <n v="27.780000999999999"/>
    <n v="27.290001"/>
    <x v="2725"/>
    <n v="20.414304999999999"/>
    <n v="50735500"/>
  </r>
  <r>
    <x v="5668"/>
    <n v="27.67"/>
    <n v="27.76"/>
    <n v="27.059999000000001"/>
    <x v="2889"/>
    <n v="20.272167"/>
    <n v="66079200"/>
  </r>
  <r>
    <x v="5669"/>
    <n v="27"/>
    <n v="27.18"/>
    <n v="26.84"/>
    <x v="2728"/>
    <n v="20.122558999999999"/>
    <n v="57127700"/>
  </r>
  <r>
    <x v="5670"/>
    <n v="26.74"/>
    <n v="26.889999"/>
    <n v="26.35"/>
    <x v="2736"/>
    <n v="19.711134000000001"/>
    <n v="66141900"/>
  </r>
  <r>
    <x v="5671"/>
    <n v="26.030000999999999"/>
    <n v="26.219999000000001"/>
    <n v="25.629999000000002"/>
    <x v="2246"/>
    <n v="19.187495999999999"/>
    <n v="82305200"/>
  </r>
  <r>
    <x v="5672"/>
    <n v="26.209999"/>
    <n v="26.33"/>
    <n v="25.67"/>
    <x v="2387"/>
    <n v="19.539083000000002"/>
    <n v="62110800"/>
  </r>
  <r>
    <x v="5673"/>
    <n v="26.200001"/>
    <n v="26.6"/>
    <n v="26.049999"/>
    <x v="2608"/>
    <n v="19.524121999999998"/>
    <n v="85735700"/>
  </r>
  <r>
    <x v="5674"/>
    <n v="26.52"/>
    <n v="26.860001"/>
    <n v="26.25"/>
    <x v="2861"/>
    <n v="19.778455999999998"/>
    <n v="75064900"/>
  </r>
  <r>
    <x v="5675"/>
    <n v="26.1"/>
    <n v="27.459999"/>
    <n v="26.030000999999999"/>
    <x v="3123"/>
    <n v="20.451709999999999"/>
    <n v="72913300"/>
  </r>
  <r>
    <x v="5676"/>
    <n v="27.139999"/>
    <n v="27.74"/>
    <n v="26.940000999999999"/>
    <x v="2793"/>
    <n v="20.661159999999999"/>
    <n v="75628500"/>
  </r>
  <r>
    <x v="5677"/>
    <n v="26.92"/>
    <n v="27.49"/>
    <n v="26.73"/>
    <x v="2865"/>
    <n v="20.062716000000002"/>
    <n v="82349400"/>
  </r>
  <r>
    <x v="5678"/>
    <n v="26.09"/>
    <n v="26.49"/>
    <n v="25.52"/>
    <x v="2413"/>
    <n v="19.441841"/>
    <n v="111729700"/>
  </r>
  <r>
    <x v="5679"/>
    <n v="25.73"/>
    <n v="25.870000999999998"/>
    <n v="24.5"/>
    <x v="2596"/>
    <n v="18.379604"/>
    <n v="106972100"/>
  </r>
  <r>
    <x v="5680"/>
    <n v="24.799999"/>
    <n v="25.35"/>
    <n v="24.01"/>
    <x v="2634"/>
    <n v="18.895759999999999"/>
    <n v="132291300"/>
  </r>
  <r>
    <x v="5681"/>
    <n v="26.370000999999998"/>
    <n v="26.4"/>
    <n v="23.5"/>
    <x v="2738"/>
    <n v="18.820955000000001"/>
    <n v="134926100"/>
  </r>
  <r>
    <x v="5682"/>
    <n v="26.219999000000001"/>
    <n v="26.32"/>
    <n v="25.32"/>
    <x v="2700"/>
    <n v="19.000485999999999"/>
    <n v="105207700"/>
  </r>
  <r>
    <x v="5683"/>
    <n v="25.66"/>
    <n v="26.17"/>
    <n v="25.34"/>
    <x v="3121"/>
    <n v="19.030408999999999"/>
    <n v="92181300"/>
  </r>
  <r>
    <x v="5684"/>
    <n v="25.58"/>
    <n v="26.09"/>
    <n v="25.459999"/>
    <x v="2430"/>
    <n v="19.239861999999999"/>
    <n v="80250300"/>
  </r>
  <r>
    <x v="5685"/>
    <n v="25.82"/>
    <n v="26.879999000000002"/>
    <n v="25.74"/>
    <x v="2649"/>
    <n v="19.905622000000001"/>
    <n v="96203500"/>
  </r>
  <r>
    <x v="5686"/>
    <n v="26.17"/>
    <n v="27.559999000000001"/>
    <n v="26.139999"/>
    <x v="2642"/>
    <n v="20.496590000000001"/>
    <n v="100744300"/>
  </r>
  <r>
    <x v="5687"/>
    <n v="26.940000999999999"/>
    <n v="27.66"/>
    <n v="25.01"/>
    <x v="3124"/>
    <n v="18.708739999999999"/>
    <n v="134383100"/>
  </r>
  <r>
    <x v="5688"/>
    <n v="25.77"/>
    <n v="26.690000999999999"/>
    <n v="25.540001"/>
    <x v="2645"/>
    <n v="19.965467"/>
    <n v="107192700"/>
  </r>
  <r>
    <x v="5689"/>
    <n v="26.379999000000002"/>
    <n v="26.99"/>
    <n v="26.280000999999999"/>
    <x v="2756"/>
    <n v="19.808382000000002"/>
    <n v="88957000"/>
  </r>
  <r>
    <x v="5690"/>
    <n v="26.18"/>
    <n v="26.530000999999999"/>
    <n v="25.700001"/>
    <x v="2533"/>
    <n v="19.636330000000001"/>
    <n v="93819800"/>
  </r>
  <r>
    <x v="5691"/>
    <n v="26.370000999999998"/>
    <n v="27.469999000000001"/>
    <n v="26.24"/>
    <x v="2407"/>
    <n v="19.688697999999999"/>
    <n v="114289400"/>
  </r>
  <r>
    <x v="5692"/>
    <n v="25.629999000000002"/>
    <n v="25.99"/>
    <n v="24.139999"/>
    <x v="2839"/>
    <n v="18.633938000000001"/>
    <n v="146374600"/>
  </r>
  <r>
    <x v="5693"/>
    <n v="24.98"/>
    <n v="25.209999"/>
    <n v="23.139999"/>
    <x v="3125"/>
    <n v="17.377213000000001"/>
    <n v="145941200"/>
  </r>
  <r>
    <x v="5694"/>
    <n v="22.9"/>
    <n v="24.299999"/>
    <n v="22.5"/>
    <x v="2896"/>
    <n v="17.212645999999999"/>
    <n v="171598600"/>
  </r>
  <r>
    <x v="5695"/>
    <n v="23.77"/>
    <n v="23.91"/>
    <n v="22.07"/>
    <x v="3126"/>
    <n v="16.681529999999999"/>
    <n v="131948700"/>
  </r>
  <r>
    <x v="5696"/>
    <n v="21.790001"/>
    <n v="22.35"/>
    <n v="20.65"/>
    <x v="1603"/>
    <n v="16.083089999999999"/>
    <n v="228467500"/>
  </r>
  <r>
    <x v="5697"/>
    <n v="22.860001"/>
    <n v="25.5"/>
    <n v="22.629999000000002"/>
    <x v="2553"/>
    <n v="19.075292999999999"/>
    <n v="144935400"/>
  </r>
  <r>
    <x v="5698"/>
    <n v="25.639999"/>
    <n v="25.73"/>
    <n v="23.6"/>
    <x v="3127"/>
    <n v="18.028020999999999"/>
    <n v="165674900"/>
  </r>
  <r>
    <x v="5699"/>
    <n v="23.780000999999999"/>
    <n v="24.25"/>
    <n v="22.48"/>
    <x v="3128"/>
    <n v="16.950823"/>
    <n v="113280200"/>
  </r>
  <r>
    <x v="5700"/>
    <n v="22.940000999999999"/>
    <n v="24.190000999999999"/>
    <n v="21.309999000000001"/>
    <x v="2573"/>
    <n v="18.09535"/>
    <n v="161147800"/>
  </r>
  <r>
    <x v="5701"/>
    <n v="23.57"/>
    <n v="25.110001"/>
    <n v="23.309999000000001"/>
    <x v="3129"/>
    <n v="17.900849999999998"/>
    <n v="133673100"/>
  </r>
  <r>
    <x v="5702"/>
    <n v="24.200001"/>
    <n v="24.75"/>
    <n v="23.01"/>
    <x v="3130"/>
    <n v="18.491821000000002"/>
    <n v="93484300"/>
  </r>
  <r>
    <x v="5703"/>
    <n v="24.299999"/>
    <n v="25.01"/>
    <n v="23.27"/>
    <x v="3131"/>
    <n v="17.474468000000002"/>
    <n v="100385600"/>
  </r>
  <r>
    <x v="5704"/>
    <n v="23.040001"/>
    <n v="23.059999000000001"/>
    <n v="20.9"/>
    <x v="3132"/>
    <n v="16.105536000000001"/>
    <n v="150054800"/>
  </r>
  <r>
    <x v="5705"/>
    <n v="21.549999"/>
    <n v="22.59"/>
    <n v="20.889999"/>
    <x v="3133"/>
    <n v="16.696494999999999"/>
    <n v="154774100"/>
  </r>
  <r>
    <x v="5706"/>
    <n v="21.059999000000001"/>
    <n v="22.860001"/>
    <n v="20.950001"/>
    <x v="3134"/>
    <n v="16.427192999999999"/>
    <n v="153919700"/>
  </r>
  <r>
    <x v="5707"/>
    <n v="21.67"/>
    <n v="21.959999"/>
    <n v="21.02"/>
    <x v="3135"/>
    <n v="15.843712"/>
    <n v="117683900"/>
  </r>
  <r>
    <x v="5708"/>
    <n v="21.639999"/>
    <n v="23.209999"/>
    <n v="21.34"/>
    <x v="2484"/>
    <n v="17.279968"/>
    <n v="134088800"/>
  </r>
  <r>
    <x v="5709"/>
    <n v="23.129999000000002"/>
    <n v="23.969999000000001"/>
    <n v="22.700001"/>
    <x v="3136"/>
    <n v="17.205164"/>
    <n v="111701800"/>
  </r>
  <r>
    <x v="5710"/>
    <n v="23.690000999999999"/>
    <n v="23.879999000000002"/>
    <n v="22.389999"/>
    <x v="3137"/>
    <n v="16.928391999999999"/>
    <n v="95323000"/>
  </r>
  <r>
    <x v="5711"/>
    <n v="22.530000999999999"/>
    <n v="22.91"/>
    <n v="22.120000999999998"/>
    <x v="3138"/>
    <n v="16.703973999999999"/>
    <n v="93055200"/>
  </r>
  <r>
    <x v="5712"/>
    <n v="22.48"/>
    <n v="22.91"/>
    <n v="22.209999"/>
    <x v="3139"/>
    <n v="16.920904"/>
    <n v="61923500"/>
  </r>
  <r>
    <x v="5713"/>
    <n v="23.129999000000002"/>
    <n v="23.66"/>
    <n v="22.870000999999998"/>
    <x v="2456"/>
    <n v="17.601635000000002"/>
    <n v="72123000"/>
  </r>
  <r>
    <x v="5714"/>
    <n v="23.33"/>
    <n v="23.34"/>
    <n v="22.049999"/>
    <x v="3140"/>
    <n v="16.516957999999999"/>
    <n v="81179700"/>
  </r>
  <r>
    <x v="5715"/>
    <n v="21.870000999999998"/>
    <n v="22.08"/>
    <n v="20.860001"/>
    <x v="3141"/>
    <n v="15.619292"/>
    <n v="95509700"/>
  </r>
  <r>
    <x v="5716"/>
    <n v="21.32"/>
    <n v="21.540001"/>
    <n v="21"/>
    <x v="1603"/>
    <n v="16.083089999999999"/>
    <n v="71256300"/>
  </r>
  <r>
    <x v="5717"/>
    <n v="21.85"/>
    <n v="21.969999000000001"/>
    <n v="21.190000999999999"/>
    <x v="3142"/>
    <n v="15.933481"/>
    <n v="67106800"/>
  </r>
  <r>
    <x v="5718"/>
    <n v="21.290001"/>
    <n v="21.299999"/>
    <n v="20.790001"/>
    <x v="3143"/>
    <n v="15.858674000000001"/>
    <n v="78014500"/>
  </r>
  <r>
    <x v="5719"/>
    <n v="20.889999"/>
    <n v="21"/>
    <n v="20.280000999999999"/>
    <x v="3144"/>
    <n v="15.185426"/>
    <n v="90162300"/>
  </r>
  <r>
    <x v="5720"/>
    <n v="20.149999999999999"/>
    <n v="21.25"/>
    <n v="18.739999999999998"/>
    <x v="3145"/>
    <n v="15.896084"/>
    <n v="148413700"/>
  </r>
  <r>
    <x v="5721"/>
    <n v="20.559999000000001"/>
    <n v="21.34"/>
    <n v="19.649999999999999"/>
    <x v="3146"/>
    <n v="15.005895000000001"/>
    <n v="96624500"/>
  </r>
  <r>
    <x v="5722"/>
    <n v="19.739999999999998"/>
    <n v="20.239999999999998"/>
    <n v="19.149999999999999"/>
    <x v="3147"/>
    <n v="14.452342"/>
    <n v="97289000"/>
  </r>
  <r>
    <x v="5723"/>
    <n v="19.5"/>
    <n v="19.66"/>
    <n v="18.75"/>
    <x v="3148"/>
    <n v="14.776182"/>
    <n v="108966500"/>
  </r>
  <r>
    <x v="5724"/>
    <n v="19.629999000000002"/>
    <n v="19.950001"/>
    <n v="18.25"/>
    <x v="3149"/>
    <n v="13.774531"/>
    <n v="103010500"/>
  </r>
  <r>
    <x v="5725"/>
    <n v="18.120000999999998"/>
    <n v="18.84"/>
    <n v="17.5"/>
    <x v="3150"/>
    <n v="13.202163000000001"/>
    <n v="139532800"/>
  </r>
  <r>
    <x v="5726"/>
    <n v="18.02"/>
    <n v="19.700001"/>
    <n v="17.98"/>
    <x v="3151"/>
    <n v="14.821368"/>
    <n v="157231900"/>
  </r>
  <r>
    <x v="5727"/>
    <n v="19.889999"/>
    <n v="20.940000999999999"/>
    <n v="19.870000999999998"/>
    <x v="3152"/>
    <n v="15.582023"/>
    <n v="125289900"/>
  </r>
  <r>
    <x v="5728"/>
    <n v="20.860001"/>
    <n v="20.93"/>
    <n v="19.549999"/>
    <x v="3153"/>
    <n v="15.054831999999999"/>
    <n v="92948100"/>
  </r>
  <r>
    <x v="5729"/>
    <n v="19.73"/>
    <n v="20.68"/>
    <n v="19.73"/>
    <x v="3154"/>
    <n v="15.431393"/>
    <n v="79678300"/>
  </r>
  <r>
    <x v="5730"/>
    <n v="20.23"/>
    <n v="20.309999000000001"/>
    <n v="20.02"/>
    <x v="3155"/>
    <n v="15.228051000000001"/>
    <n v="28650800"/>
  </r>
  <r>
    <x v="5731"/>
    <n v="19.879999000000002"/>
    <n v="19.950001"/>
    <n v="18.600000000000001"/>
    <x v="3156"/>
    <n v="14.015532"/>
    <n v="79639900"/>
  </r>
  <r>
    <x v="5732"/>
    <n v="18.989999999999998"/>
    <n v="19.309999000000001"/>
    <n v="18.559999000000001"/>
    <x v="3157"/>
    <n v="14.42221"/>
    <n v="79689800"/>
  </r>
  <r>
    <x v="5733"/>
    <n v="18.649999999999999"/>
    <n v="19.899999999999999"/>
    <n v="18.600000000000001"/>
    <x v="3158"/>
    <n v="14.964461999999999"/>
    <n v="80961500"/>
  </r>
  <r>
    <x v="5734"/>
    <n v="19.399999999999999"/>
    <n v="19.920000000000002"/>
    <n v="18.790001"/>
    <x v="3159"/>
    <n v="14.392087999999999"/>
    <n v="78719200"/>
  </r>
  <r>
    <x v="5735"/>
    <n v="18.91"/>
    <n v="19.98"/>
    <n v="18.469999000000001"/>
    <x v="3158"/>
    <n v="14.964461999999999"/>
    <n v="91996200"/>
  </r>
  <r>
    <x v="5736"/>
    <n v="20.350000000000001"/>
    <n v="21.25"/>
    <n v="20.139999"/>
    <x v="3160"/>
    <n v="15.823016000000001"/>
    <n v="107225000"/>
  </r>
  <r>
    <x v="5737"/>
    <n v="20.620000999999998"/>
    <n v="21.25"/>
    <n v="20.459999"/>
    <x v="3161"/>
    <n v="15.514238000000001"/>
    <n v="80484900"/>
  </r>
  <r>
    <x v="5738"/>
    <n v="20.82"/>
    <n v="20.959999"/>
    <n v="20.299999"/>
    <x v="3162"/>
    <n v="15.52177"/>
    <n v="61499000"/>
  </r>
  <r>
    <x v="5739"/>
    <n v="20.110001"/>
    <n v="20.120000999999998"/>
    <n v="19.309999000000001"/>
    <x v="3163"/>
    <n v="14.648149999999999"/>
    <n v="83564300"/>
  </r>
  <r>
    <x v="5740"/>
    <n v="19.149999999999999"/>
    <n v="19.850000000000001"/>
    <n v="18.700001"/>
    <x v="3164"/>
    <n v="14.580375"/>
    <n v="78112600"/>
  </r>
  <r>
    <x v="5741"/>
    <n v="19.34"/>
    <n v="19.440000999999999"/>
    <n v="18.889999"/>
    <x v="3165"/>
    <n v="14.339373999999999"/>
    <n v="59925900"/>
  </r>
  <r>
    <x v="5742"/>
    <n v="19.209999"/>
    <n v="20.18"/>
    <n v="19"/>
    <x v="3166"/>
    <n v="15.145218"/>
    <n v="97688700"/>
  </r>
  <r>
    <x v="5743"/>
    <n v="19.809999000000001"/>
    <n v="20.049999"/>
    <n v="19.5"/>
    <x v="3167"/>
    <n v="14.8063"/>
    <n v="78922700"/>
  </r>
  <r>
    <x v="5744"/>
    <n v="19.860001"/>
    <n v="20.02"/>
    <n v="18.989999999999998"/>
    <x v="3168"/>
    <n v="14.535181"/>
    <n v="80759200"/>
  </r>
  <r>
    <x v="5745"/>
    <n v="19.420000000000002"/>
    <n v="19.799999"/>
    <n v="19.110001"/>
    <x v="3169"/>
    <n v="14.399623"/>
    <n v="113530400"/>
  </r>
  <r>
    <x v="5746"/>
    <n v="19.239999999999998"/>
    <n v="19.290001"/>
    <n v="18.889999"/>
    <x v="3170"/>
    <n v="14.444806"/>
    <n v="58575400"/>
  </r>
  <r>
    <x v="5747"/>
    <n v="19.280000999999999"/>
    <n v="19.57"/>
    <n v="19.010000000000002"/>
    <x v="3171"/>
    <n v="14.520123"/>
    <n v="47511400"/>
  </r>
  <r>
    <x v="5748"/>
    <n v="19.260000000000002"/>
    <n v="19.450001"/>
    <n v="19.100000000000001"/>
    <x v="3172"/>
    <n v="14.437274"/>
    <n v="16880400"/>
  </r>
  <r>
    <x v="5749"/>
    <n v="19.200001"/>
    <n v="19.329999999999998"/>
    <n v="19.09"/>
    <x v="3173"/>
    <n v="14.40715"/>
    <n v="23101000"/>
  </r>
  <r>
    <x v="5750"/>
    <n v="19.149999999999999"/>
    <n v="19.209999"/>
    <n v="18.639999"/>
    <x v="3174"/>
    <n v="14.279123999999999"/>
    <n v="58512800"/>
  </r>
  <r>
    <x v="5751"/>
    <n v="19.010000000000002"/>
    <n v="19.489999999999998"/>
    <n v="19"/>
    <x v="3175"/>
    <n v="14.565306"/>
    <n v="43224100"/>
  </r>
  <r>
    <x v="5752"/>
    <n v="19.309999000000001"/>
    <n v="19.68"/>
    <n v="19.27"/>
    <x v="3176"/>
    <n v="14.640618"/>
    <n v="46419000"/>
  </r>
  <r>
    <x v="5753"/>
    <n v="19.530000999999999"/>
    <n v="20.399999999999999"/>
    <n v="19.370000999999998"/>
    <x v="3177"/>
    <n v="15.310896"/>
    <n v="50084000"/>
  </r>
  <r>
    <x v="5754"/>
    <n v="20.200001"/>
    <n v="20.67"/>
    <n v="20.059999000000001"/>
    <x v="3178"/>
    <n v="15.453988000000001"/>
    <n v="61475200"/>
  </r>
  <r>
    <x v="5755"/>
    <n v="20.75"/>
    <n v="21"/>
    <n v="20.610001"/>
    <x v="3179"/>
    <n v="15.634734"/>
    <n v="58083400"/>
  </r>
  <r>
    <x v="5756"/>
    <n v="20.190000999999999"/>
    <n v="20.290001"/>
    <n v="19.48"/>
    <x v="3180"/>
    <n v="14.693339999999999"/>
    <n v="72709900"/>
  </r>
  <r>
    <x v="5757"/>
    <n v="19.629999000000002"/>
    <n v="20.190000999999999"/>
    <n v="19.549999"/>
    <x v="3181"/>
    <n v="15.152736000000001"/>
    <n v="70255400"/>
  </r>
  <r>
    <x v="5758"/>
    <n v="20.170000000000002"/>
    <n v="20.299999"/>
    <n v="19.41"/>
    <x v="3182"/>
    <n v="14.700873"/>
    <n v="49815300"/>
  </r>
  <r>
    <x v="5759"/>
    <n v="19.709999"/>
    <n v="19.790001"/>
    <n v="19.299999"/>
    <x v="3183"/>
    <n v="14.663211"/>
    <n v="52163500"/>
  </r>
  <r>
    <x v="5760"/>
    <n v="19.52"/>
    <n v="19.989999999999998"/>
    <n v="19.52"/>
    <x v="3184"/>
    <n v="14.926803"/>
    <n v="65843500"/>
  </r>
  <r>
    <x v="5761"/>
    <n v="19.530000999999999"/>
    <n v="19.68"/>
    <n v="19.010000000000002"/>
    <x v="3185"/>
    <n v="14.377034"/>
    <n v="80257500"/>
  </r>
  <r>
    <x v="5762"/>
    <n v="19.07"/>
    <n v="19.299999"/>
    <n v="18.52"/>
    <x v="3186"/>
    <n v="14.489995"/>
    <n v="96169800"/>
  </r>
  <r>
    <x v="5763"/>
    <n v="19.629999000000002"/>
    <n v="19.91"/>
    <n v="19.149999999999999"/>
    <x v="3187"/>
    <n v="14.843959999999999"/>
    <n v="79634100"/>
  </r>
  <r>
    <x v="5764"/>
    <n v="19.459999"/>
    <n v="19.620000999999998"/>
    <n v="18.370000999999998"/>
    <x v="3188"/>
    <n v="13.917624999999999"/>
    <n v="89873000"/>
  </r>
  <r>
    <x v="5765"/>
    <n v="18.870000999999998"/>
    <n v="19.450001"/>
    <n v="18.459999"/>
    <x v="3189"/>
    <n v="14.59543"/>
    <n v="68340900"/>
  </r>
  <r>
    <x v="5766"/>
    <n v="18.049999"/>
    <n v="18.18"/>
    <n v="17.07"/>
    <x v="3190"/>
    <n v="12.885852"/>
    <n v="222436600"/>
  </r>
  <r>
    <x v="5767"/>
    <n v="16.969999000000001"/>
    <n v="17.489999999999998"/>
    <n v="16.75"/>
    <x v="3191"/>
    <n v="12.953632000000001"/>
    <n v="117020600"/>
  </r>
  <r>
    <x v="5768"/>
    <n v="17.290001"/>
    <n v="17.809999000000001"/>
    <n v="17.23"/>
    <x v="3192"/>
    <n v="13.277474"/>
    <n v="92476500"/>
  </r>
  <r>
    <x v="5769"/>
    <n v="17.780000999999999"/>
    <n v="17.969999000000001"/>
    <n v="17.43"/>
    <x v="3193"/>
    <n v="13.300068"/>
    <n v="61695000"/>
  </r>
  <r>
    <x v="5770"/>
    <n v="17.799999"/>
    <n v="18.309999000000001"/>
    <n v="17.760000000000002"/>
    <x v="3194"/>
    <n v="13.586251000000001"/>
    <n v="64145500"/>
  </r>
  <r>
    <x v="5771"/>
    <n v="17.780000999999999"/>
    <n v="17.959999"/>
    <n v="17.559999000000001"/>
    <x v="3195"/>
    <n v="13.247349"/>
    <n v="49192800"/>
  </r>
  <r>
    <x v="5772"/>
    <n v="17.739999999999998"/>
    <n v="17.790001"/>
    <n v="17.100000000000001"/>
    <x v="3196"/>
    <n v="12.878325999999999"/>
    <n v="62370900"/>
  </r>
  <r>
    <x v="5773"/>
    <n v="17.030000999999999"/>
    <n v="18.129999000000002"/>
    <n v="17"/>
    <x v="3197"/>
    <n v="13.428095000000001"/>
    <n v="88871700"/>
  </r>
  <r>
    <x v="5774"/>
    <n v="17.850000000000001"/>
    <n v="18.610001"/>
    <n v="17.600000000000001"/>
    <x v="3198"/>
    <n v="13.932689"/>
    <n v="86865100"/>
  </r>
  <r>
    <x v="5775"/>
    <n v="18.540001"/>
    <n v="19"/>
    <n v="18.5"/>
    <x v="3199"/>
    <n v="14.030585"/>
    <n v="75618000"/>
  </r>
  <r>
    <x v="5776"/>
    <n v="18.510000000000002"/>
    <n v="19.139999"/>
    <n v="18.25"/>
    <x v="3165"/>
    <n v="14.339373999999999"/>
    <n v="75195200"/>
  </r>
  <r>
    <x v="5777"/>
    <n v="19.16"/>
    <n v="19.93"/>
    <n v="19.059999000000001"/>
    <x v="3167"/>
    <n v="14.8063"/>
    <n v="86746000"/>
  </r>
  <r>
    <x v="5778"/>
    <n v="19.639999"/>
    <n v="19.77"/>
    <n v="19.260000000000002"/>
    <x v="3176"/>
    <n v="14.640618"/>
    <n v="52196400"/>
  </r>
  <r>
    <x v="5779"/>
    <n v="19.25"/>
    <n v="19.799999"/>
    <n v="18.700001"/>
    <x v="3200"/>
    <n v="14.158628999999999"/>
    <n v="83953200"/>
  </r>
  <r>
    <x v="5780"/>
    <n v="18.940000999999999"/>
    <n v="19.489999999999998"/>
    <n v="18.920000000000002"/>
    <x v="3201"/>
    <n v="14.467402"/>
    <n v="58599000"/>
  </r>
  <r>
    <x v="5781"/>
    <n v="18.969999000000001"/>
    <n v="19.32"/>
    <n v="18.540001"/>
    <x v="3202"/>
    <n v="14.505056"/>
    <n v="75323200"/>
  </r>
  <r>
    <x v="5782"/>
    <n v="19.27"/>
    <n v="19.469999000000001"/>
    <n v="19.040001"/>
    <x v="3185"/>
    <n v="14.377034"/>
    <n v="47416000"/>
  </r>
  <r>
    <x v="5783"/>
    <n v="18.489999999999998"/>
    <n v="18.5"/>
    <n v="17.889999"/>
    <x v="3203"/>
    <n v="13.717321999999999"/>
    <n v="75853300"/>
  </r>
  <r>
    <x v="5784"/>
    <n v="18.219999000000001"/>
    <n v="18.450001"/>
    <n v="18"/>
    <x v="3204"/>
    <n v="13.740074"/>
    <n v="54946900"/>
  </r>
  <r>
    <x v="5785"/>
    <n v="18.299999"/>
    <n v="18.379999000000002"/>
    <n v="17.809999000000001"/>
    <x v="3205"/>
    <n v="13.580831999999999"/>
    <n v="49195600"/>
  </r>
  <r>
    <x v="5786"/>
    <n v="17.77"/>
    <n v="18.190000999999999"/>
    <n v="17.66"/>
    <x v="3206"/>
    <n v="13.649077999999999"/>
    <n v="69413800"/>
  </r>
  <r>
    <x v="5787"/>
    <n v="18.02"/>
    <n v="18.149999999999999"/>
    <n v="17.16"/>
    <x v="3207"/>
    <n v="13.050029"/>
    <n v="70803400"/>
  </r>
  <r>
    <x v="5788"/>
    <n v="17.030000999999999"/>
    <n v="17.350000000000001"/>
    <n v="16.360001"/>
    <x v="3208"/>
    <n v="13.019703"/>
    <n v="122674500"/>
  </r>
  <r>
    <x v="5789"/>
    <n v="17.010000000000002"/>
    <n v="17.239999999999998"/>
    <n v="16.459999"/>
    <x v="3209"/>
    <n v="12.860459000000001"/>
    <n v="105894600"/>
  </r>
  <r>
    <x v="5790"/>
    <n v="17.049999"/>
    <n v="17.079999999999998"/>
    <n v="16.420000000000002"/>
    <x v="3210"/>
    <n v="12.450993"/>
    <n v="83219500"/>
  </r>
  <r>
    <x v="5791"/>
    <n v="16.290001"/>
    <n v="16.52"/>
    <n v="16.100000000000001"/>
    <x v="3211"/>
    <n v="12.246256000000001"/>
    <n v="93428000"/>
  </r>
  <r>
    <x v="5792"/>
    <n v="15.96"/>
    <n v="16.25"/>
    <n v="15.72"/>
    <x v="3212"/>
    <n v="11.973274"/>
    <n v="80602100"/>
  </r>
  <r>
    <x v="5793"/>
    <n v="16.030000999999999"/>
    <n v="16.239999999999998"/>
    <n v="15.64"/>
    <x v="3213"/>
    <n v="12.041516"/>
    <n v="80476600"/>
  </r>
  <r>
    <x v="5794"/>
    <n v="16.120000999999998"/>
    <n v="16.399999999999999"/>
    <n v="15.89"/>
    <x v="3214"/>
    <n v="12.223509"/>
    <n v="69285100"/>
  </r>
  <r>
    <x v="5795"/>
    <n v="15.86"/>
    <n v="15.88"/>
    <n v="15.27"/>
    <x v="3215"/>
    <n v="11.578965"/>
    <n v="89708500"/>
  </r>
  <r>
    <x v="5796"/>
    <n v="15.35"/>
    <n v="15.62"/>
    <n v="14.87"/>
    <x v="3216"/>
    <n v="11.586550000000001"/>
    <n v="92821400"/>
  </r>
  <r>
    <x v="5797"/>
    <n v="15.2"/>
    <n v="15.74"/>
    <n v="15.1"/>
    <x v="3217"/>
    <n v="11.487971"/>
    <n v="66479100"/>
  </r>
  <r>
    <x v="5798"/>
    <n v="15.37"/>
    <n v="16.620000999999998"/>
    <n v="15.25"/>
    <x v="3218"/>
    <n v="12.496486000000001"/>
    <n v="95184200"/>
  </r>
  <r>
    <x v="5799"/>
    <n v="16.629999000000002"/>
    <n v="17.200001"/>
    <n v="16.43"/>
    <x v="3190"/>
    <n v="12.974202999999999"/>
    <n v="84522200"/>
  </r>
  <r>
    <x v="5800"/>
    <n v="17.010000000000002"/>
    <n v="17.040001"/>
    <n v="16.48"/>
    <x v="3219"/>
    <n v="12.898376000000001"/>
    <n v="93694100"/>
  </r>
  <r>
    <x v="5801"/>
    <n v="16.98"/>
    <n v="17.049999"/>
    <n v="16.18"/>
    <x v="3220"/>
    <n v="12.625396"/>
    <n v="82965800"/>
  </r>
  <r>
    <x v="5802"/>
    <n v="16.82"/>
    <n v="16.959999"/>
    <n v="16.239999999999998"/>
    <x v="1492"/>
    <n v="12.322084"/>
    <n v="67028900"/>
  </r>
  <r>
    <x v="5803"/>
    <n v="16.32"/>
    <n v="16.899999999999999"/>
    <n v="16.260000000000002"/>
    <x v="3221"/>
    <n v="12.814964"/>
    <n v="62481000"/>
  </r>
  <r>
    <x v="5804"/>
    <n v="17.030000999999999"/>
    <n v="17.219999000000001"/>
    <n v="16.600000000000001"/>
    <x v="3209"/>
    <n v="12.860459000000001"/>
    <n v="70710700"/>
  </r>
  <r>
    <x v="5805"/>
    <n v="17.370000999999998"/>
    <n v="17.450001"/>
    <n v="16.920000000000002"/>
    <x v="3222"/>
    <n v="12.996955"/>
    <n v="58994600"/>
  </r>
  <r>
    <x v="5806"/>
    <n v="17.32"/>
    <n v="17.649999999999999"/>
    <n v="16.879999000000002"/>
    <x v="3223"/>
    <n v="12.936291000000001"/>
    <n v="81725500"/>
  </r>
  <r>
    <x v="5807"/>
    <n v="17.370000999999998"/>
    <n v="18.59"/>
    <n v="17.309999000000001"/>
    <x v="3224"/>
    <n v="13.899309000000001"/>
    <n v="71600000"/>
  </r>
  <r>
    <x v="5808"/>
    <n v="18.040001"/>
    <n v="18.209999"/>
    <n v="17.84"/>
    <x v="3225"/>
    <n v="13.595993999999999"/>
    <n v="50044100"/>
  </r>
  <r>
    <x v="5809"/>
    <n v="17.98"/>
    <n v="18.309999000000001"/>
    <n v="17.52"/>
    <x v="3226"/>
    <n v="13.558085999999999"/>
    <n v="73927100"/>
  </r>
  <r>
    <x v="5810"/>
    <n v="18.170000000000002"/>
    <n v="18.879999000000002"/>
    <n v="18.120000999999998"/>
    <x v="3227"/>
    <n v="14.278447"/>
    <n v="63775100"/>
  </r>
  <r>
    <x v="5811"/>
    <n v="18.540001"/>
    <n v="18.620000999999998"/>
    <n v="18.049999"/>
    <x v="3228"/>
    <n v="13.747657999999999"/>
    <n v="47670400"/>
  </r>
  <r>
    <x v="5812"/>
    <n v="17.739999999999998"/>
    <n v="17.760000000000002"/>
    <n v="17.27"/>
    <x v="3229"/>
    <n v="13.254768"/>
    <n v="49633000"/>
  </r>
  <r>
    <x v="5813"/>
    <n v="17.829999999999998"/>
    <n v="18.790001"/>
    <n v="17.780000999999999"/>
    <x v="3230"/>
    <n v="13.929644"/>
    <n v="92423300"/>
  </r>
  <r>
    <x v="5814"/>
    <n v="18.23"/>
    <n v="19.360001"/>
    <n v="18.18"/>
    <x v="3231"/>
    <n v="14.642427"/>
    <n v="96438900"/>
  </r>
  <r>
    <x v="5815"/>
    <n v="19.5"/>
    <n v="19.889999"/>
    <n v="19"/>
    <x v="3232"/>
    <n v="14.627261000000001"/>
    <n v="99082300"/>
  </r>
  <r>
    <x v="5816"/>
    <n v="19.129999000000002"/>
    <n v="19.149999999999999"/>
    <n v="18.43"/>
    <x v="3233"/>
    <n v="14.217790000000001"/>
    <n v="81858400"/>
  </r>
  <r>
    <x v="5817"/>
    <n v="18.540001"/>
    <n v="18.760000000000002"/>
    <n v="18.27"/>
    <x v="3234"/>
    <n v="14.225365"/>
    <n v="47476100"/>
  </r>
  <r>
    <x v="5818"/>
    <n v="18.760000000000002"/>
    <n v="19.139999"/>
    <n v="18.629999000000002"/>
    <x v="3234"/>
    <n v="14.225365"/>
    <n v="65815200"/>
  </r>
  <r>
    <x v="5819"/>
    <n v="18.969999000000001"/>
    <n v="19.620000999999998"/>
    <n v="18.959999"/>
    <x v="3235"/>
    <n v="14.551435"/>
    <n v="56408900"/>
  </r>
  <r>
    <x v="5820"/>
    <n v="19.450001"/>
    <n v="19.700001"/>
    <n v="19.219999000000001"/>
    <x v="3236"/>
    <n v="14.915412"/>
    <n v="55759600"/>
  </r>
  <r>
    <x v="5821"/>
    <n v="19.690000999999999"/>
    <n v="19.850000000000001"/>
    <n v="19.370000999999998"/>
    <x v="3237"/>
    <n v="14.854746"/>
    <n v="44444700"/>
  </r>
  <r>
    <x v="5822"/>
    <n v="19.440000999999999"/>
    <n v="19.549999"/>
    <n v="19"/>
    <x v="3238"/>
    <n v="14.672758"/>
    <n v="63796300"/>
  </r>
  <r>
    <x v="5823"/>
    <n v="19.209999"/>
    <n v="19.25"/>
    <n v="18.510000000000002"/>
    <x v="3227"/>
    <n v="14.278447"/>
    <n v="72725500"/>
  </r>
  <r>
    <x v="5824"/>
    <n v="19.16"/>
    <n v="19.780000999999999"/>
    <n v="18.989999999999998"/>
    <x v="3239"/>
    <n v="14.983654"/>
    <n v="67688700"/>
  </r>
  <r>
    <x v="5825"/>
    <n v="19.690000999999999"/>
    <n v="19.690000999999999"/>
    <n v="19"/>
    <x v="3240"/>
    <n v="14.559011999999999"/>
    <n v="61398500"/>
  </r>
  <r>
    <x v="5826"/>
    <n v="18.889999"/>
    <n v="18.950001"/>
    <n v="18.57"/>
    <x v="3156"/>
    <n v="14.111629000000001"/>
    <n v="62937200"/>
  </r>
  <r>
    <x v="5827"/>
    <n v="18.59"/>
    <n v="19.079999999999998"/>
    <n v="18.57"/>
    <x v="3241"/>
    <n v="14.38461"/>
    <n v="60928300"/>
  </r>
  <r>
    <x v="5828"/>
    <n v="18.760000000000002"/>
    <n v="19.190000999999999"/>
    <n v="18.700001"/>
    <x v="3242"/>
    <n v="14.240537"/>
    <n v="59401000"/>
  </r>
  <r>
    <x v="5829"/>
    <n v="18.920000000000002"/>
    <n v="18.940000999999999"/>
    <n v="18.469999000000001"/>
    <x v="3243"/>
    <n v="14.346695"/>
    <n v="86116300"/>
  </r>
  <r>
    <x v="5830"/>
    <n v="19.82"/>
    <n v="21.200001"/>
    <n v="19.5"/>
    <x v="3244"/>
    <n v="15.855677999999999"/>
    <n v="168478500"/>
  </r>
  <r>
    <x v="5831"/>
    <n v="20.549999"/>
    <n v="20.82"/>
    <n v="20.280000999999999"/>
    <x v="3245"/>
    <n v="15.468954"/>
    <n v="68219600"/>
  </r>
  <r>
    <x v="5832"/>
    <n v="20.25"/>
    <n v="20.27"/>
    <n v="19.790001"/>
    <x v="3246"/>
    <n v="15.112567"/>
    <n v="76685200"/>
  </r>
  <r>
    <x v="5833"/>
    <n v="20.110001"/>
    <n v="20.889999"/>
    <n v="20.059999000000001"/>
    <x v="3247"/>
    <n v="15.355212"/>
    <n v="79301600"/>
  </r>
  <r>
    <x v="5834"/>
    <n v="20.6"/>
    <n v="21.1"/>
    <n v="20.010000000000002"/>
    <x v="3248"/>
    <n v="15.362799000000001"/>
    <n v="87439900"/>
  </r>
  <r>
    <x v="5835"/>
    <n v="20.190000999999999"/>
    <n v="20.350000000000001"/>
    <n v="19.860001"/>
    <x v="3249"/>
    <n v="15.347631"/>
    <n v="63224500"/>
  </r>
  <r>
    <x v="5836"/>
    <n v="20.370000999999998"/>
    <n v="20.399999999999999"/>
    <n v="19.98"/>
    <x v="3250"/>
    <n v="15.309723"/>
    <n v="54313400"/>
  </r>
  <r>
    <x v="5837"/>
    <n v="20.139999"/>
    <n v="20.239999999999998"/>
    <n v="19.639999"/>
    <x v="3251"/>
    <n v="15.006398000000001"/>
    <n v="66835500"/>
  </r>
  <r>
    <x v="5838"/>
    <n v="20.059999000000001"/>
    <n v="20.07"/>
    <n v="19.610001"/>
    <x v="3251"/>
    <n v="15.006398000000001"/>
    <n v="59639100"/>
  </r>
  <r>
    <x v="5839"/>
    <n v="19.959999"/>
    <n v="19.989999999999998"/>
    <n v="19.139999"/>
    <x v="3147"/>
    <n v="14.650010999999999"/>
    <n v="68727200"/>
  </r>
  <r>
    <x v="5840"/>
    <n v="19.459999"/>
    <n v="19.639999"/>
    <n v="19.139999"/>
    <x v="3252"/>
    <n v="14.725833"/>
    <n v="67597600"/>
  </r>
  <r>
    <x v="5841"/>
    <n v="19.200001"/>
    <n v="19.73"/>
    <n v="19.010000000000002"/>
    <x v="3147"/>
    <n v="14.650010999999999"/>
    <n v="63762600"/>
  </r>
  <r>
    <x v="5842"/>
    <n v="19.510000000000002"/>
    <n v="20.059999000000001"/>
    <n v="19.469999000000001"/>
    <x v="3253"/>
    <n v="15.082231"/>
    <n v="71966800"/>
  </r>
  <r>
    <x v="5843"/>
    <n v="19.920000000000002"/>
    <n v="20"/>
    <n v="19.670000000000002"/>
    <x v="3254"/>
    <n v="14.976069000000001"/>
    <n v="49281700"/>
  </r>
  <r>
    <x v="5844"/>
    <n v="19.829999999999998"/>
    <n v="20.23"/>
    <n v="19.799999"/>
    <x v="3146"/>
    <n v="15.211133999999999"/>
    <n v="54539500"/>
  </r>
  <r>
    <x v="5845"/>
    <n v="20.129999000000002"/>
    <n v="20.5"/>
    <n v="19.98"/>
    <x v="3155"/>
    <n v="15.332456000000001"/>
    <n v="61289900"/>
  </r>
  <r>
    <x v="5846"/>
    <n v="20.360001"/>
    <n v="20.6"/>
    <n v="20.239999999999998"/>
    <x v="3161"/>
    <n v="15.620609999999999"/>
    <n v="46073800"/>
  </r>
  <r>
    <x v="5847"/>
    <n v="20.51"/>
    <n v="20.74"/>
    <n v="20.25"/>
    <x v="3255"/>
    <n v="15.498516"/>
    <n v="51368300"/>
  </r>
  <r>
    <x v="5848"/>
    <n v="20.41"/>
    <n v="20.690000999999999"/>
    <n v="20.219999000000001"/>
    <x v="3256"/>
    <n v="15.55193"/>
    <n v="47450700"/>
  </r>
  <r>
    <x v="5849"/>
    <n v="20.139999"/>
    <n v="20.23"/>
    <n v="19.510000000000002"/>
    <x v="3184"/>
    <n v="15.124596"/>
    <n v="58232800"/>
  </r>
  <r>
    <x v="5850"/>
    <n v="19.93"/>
    <n v="20.170000000000002"/>
    <n v="19.469999000000001"/>
    <x v="3254"/>
    <n v="15.071179000000001"/>
    <n v="37318700"/>
  </r>
  <r>
    <x v="5851"/>
    <n v="19.540001"/>
    <n v="20.450001"/>
    <n v="19.450001"/>
    <x v="3257"/>
    <n v="15.521409"/>
    <n v="44991700"/>
  </r>
  <r>
    <x v="5852"/>
    <n v="20.25"/>
    <n v="20.6"/>
    <n v="20.07"/>
    <x v="3258"/>
    <n v="15.361154000000001"/>
    <n v="42892900"/>
  </r>
  <r>
    <x v="5853"/>
    <n v="20.32"/>
    <n v="20.629999000000002"/>
    <n v="20.049999"/>
    <x v="3259"/>
    <n v="15.60535"/>
    <n v="45480800"/>
  </r>
  <r>
    <x v="5854"/>
    <n v="20.559999000000001"/>
    <n v="20.940000999999999"/>
    <n v="20.299999"/>
    <x v="3260"/>
    <n v="15.941107000000001"/>
    <n v="46134900"/>
  </r>
  <r>
    <x v="5855"/>
    <n v="21"/>
    <n v="21.5"/>
    <n v="20.860001"/>
    <x v="3261"/>
    <n v="16.330292"/>
    <n v="57317100"/>
  </r>
  <r>
    <x v="5856"/>
    <n v="21.360001"/>
    <n v="21.98"/>
    <n v="21.200001"/>
    <x v="3261"/>
    <n v="16.330292"/>
    <n v="48935700"/>
  </r>
  <r>
    <x v="5857"/>
    <n v="21.309999000000001"/>
    <n v="21.76"/>
    <n v="21.290001"/>
    <x v="3262"/>
    <n v="16.582111000000001"/>
    <n v="56039600"/>
  </r>
  <r>
    <x v="5858"/>
    <n v="21.77"/>
    <n v="21.9"/>
    <n v="21.58"/>
    <x v="3263"/>
    <n v="16.658428000000001"/>
    <n v="42330000"/>
  </r>
  <r>
    <x v="5859"/>
    <n v="21.959999"/>
    <n v="22.309999000000001"/>
    <n v="21.809999000000001"/>
    <x v="3264"/>
    <n v="16.894983"/>
    <n v="59579200"/>
  </r>
  <r>
    <x v="5860"/>
    <n v="21.98"/>
    <n v="22.32"/>
    <n v="21.629999000000002"/>
    <x v="3265"/>
    <n v="16.826305000000001"/>
    <n v="49000600"/>
  </r>
  <r>
    <x v="5861"/>
    <n v="22.059999000000001"/>
    <n v="22.32"/>
    <n v="21.879999000000002"/>
    <x v="3140"/>
    <n v="16.849195000000002"/>
    <n v="50887700"/>
  </r>
  <r>
    <x v="5862"/>
    <n v="22.17"/>
    <n v="22.620000999999998"/>
    <n v="22.120000999999998"/>
    <x v="2917"/>
    <n v="17.207853"/>
    <n v="61297200"/>
  </r>
  <r>
    <x v="5863"/>
    <n v="22.59"/>
    <n v="23.26"/>
    <n v="22.57"/>
    <x v="2898"/>
    <n v="17.421520000000001"/>
    <n v="65124600"/>
  </r>
  <r>
    <x v="5864"/>
    <n v="22.9"/>
    <n v="23.379999000000002"/>
    <n v="22.74"/>
    <x v="3266"/>
    <n v="17.803072"/>
    <n v="50963500"/>
  </r>
  <r>
    <x v="5865"/>
    <n v="23.23"/>
    <n v="23.540001"/>
    <n v="23.02"/>
    <x v="3267"/>
    <n v="17.871749999999999"/>
    <n v="69089600"/>
  </r>
  <r>
    <x v="5866"/>
    <n v="23.469999000000001"/>
    <n v="24.110001"/>
    <n v="23.440000999999999"/>
    <x v="3268"/>
    <n v="17.894648"/>
    <n v="105295600"/>
  </r>
  <r>
    <x v="5867"/>
    <n v="23.5"/>
    <n v="23.82"/>
    <n v="23.17"/>
    <x v="3269"/>
    <n v="18.070150000000002"/>
    <n v="86483100"/>
  </r>
  <r>
    <x v="5868"/>
    <n v="23.620000999999998"/>
    <n v="23.690000999999999"/>
    <n v="23.299999"/>
    <x v="2902"/>
    <n v="17.932808000000001"/>
    <n v="58852200"/>
  </r>
  <r>
    <x v="5869"/>
    <n v="24.040001"/>
    <n v="24.34"/>
    <n v="23.75"/>
    <x v="2572"/>
    <n v="18.367761999999999"/>
    <n v="115459000"/>
  </r>
  <r>
    <x v="5870"/>
    <n v="23.950001"/>
    <n v="23.950001"/>
    <n v="23.25"/>
    <x v="3270"/>
    <n v="17.764914999999998"/>
    <n v="71291600"/>
  </r>
  <r>
    <x v="5871"/>
    <n v="23.379999000000002"/>
    <n v="23.66"/>
    <n v="23.209999"/>
    <x v="3271"/>
    <n v="17.810701000000002"/>
    <n v="56752700"/>
  </r>
  <r>
    <x v="5872"/>
    <n v="23.450001"/>
    <n v="23.75"/>
    <n v="23.360001"/>
    <x v="2921"/>
    <n v="17.909904000000001"/>
    <n v="54287700"/>
  </r>
  <r>
    <x v="5873"/>
    <n v="23.43"/>
    <n v="23.92"/>
    <n v="23.200001"/>
    <x v="3272"/>
    <n v="18.154095000000002"/>
    <n v="57724300"/>
  </r>
  <r>
    <x v="5874"/>
    <n v="23.57"/>
    <n v="23.690000999999999"/>
    <n v="23.32"/>
    <x v="2923"/>
    <n v="17.818332999999999"/>
    <n v="65126400"/>
  </r>
  <r>
    <x v="5875"/>
    <n v="23.6"/>
    <n v="24.030000999999999"/>
    <n v="23.549999"/>
    <x v="3273"/>
    <n v="18.207505999999999"/>
    <n v="62854900"/>
  </r>
  <r>
    <x v="5876"/>
    <n v="23.969999000000001"/>
    <n v="24.24"/>
    <n v="23.629999000000002"/>
    <x v="2894"/>
    <n v="18.138826000000002"/>
    <n v="66452400"/>
  </r>
  <r>
    <x v="5877"/>
    <n v="24.049999"/>
    <n v="24.299999"/>
    <n v="23.959999"/>
    <x v="3274"/>
    <n v="18.344866"/>
    <n v="54908400"/>
  </r>
  <r>
    <x v="5878"/>
    <n v="23.76"/>
    <n v="24.040001"/>
    <n v="23.209999"/>
    <x v="3275"/>
    <n v="17.833590999999998"/>
    <n v="65422200"/>
  </r>
  <r>
    <x v="5879"/>
    <n v="23.209999"/>
    <n v="23.280000999999999"/>
    <n v="22.870000999999998"/>
    <x v="3276"/>
    <n v="17.703869000000001"/>
    <n v="49207700"/>
  </r>
  <r>
    <x v="5880"/>
    <n v="23.08"/>
    <n v="23.139999"/>
    <n v="22.459999"/>
    <x v="3277"/>
    <n v="17.192591"/>
    <n v="52842500"/>
  </r>
  <r>
    <x v="5881"/>
    <n v="22.309999000000001"/>
    <n v="22.690000999999999"/>
    <n v="22"/>
    <x v="2899"/>
    <n v="17.215478999999998"/>
    <n v="73023400"/>
  </r>
  <r>
    <x v="5882"/>
    <n v="22.65"/>
    <n v="22.809999000000001"/>
    <n v="22.370000999999998"/>
    <x v="3278"/>
    <n v="17.123915"/>
    <n v="46981200"/>
  </r>
  <r>
    <x v="5883"/>
    <n v="22.190000999999999"/>
    <n v="22.540001"/>
    <n v="22.15"/>
    <x v="3279"/>
    <n v="17.085760000000001"/>
    <n v="43229200"/>
  </r>
  <r>
    <x v="5884"/>
    <n v="22.42"/>
    <n v="23.290001"/>
    <n v="22.139999"/>
    <x v="3125"/>
    <n v="17.726761"/>
    <n v="67584000"/>
  </r>
  <r>
    <x v="5885"/>
    <n v="23.200001"/>
    <n v="23.219999000000001"/>
    <n v="22.860001"/>
    <x v="3280"/>
    <n v="17.635186999999998"/>
    <n v="45448700"/>
  </r>
  <r>
    <x v="5886"/>
    <n v="23.75"/>
    <n v="24.120000999999998"/>
    <n v="23.559999000000001"/>
    <x v="2558"/>
    <n v="18.405912000000001"/>
    <n v="67238700"/>
  </r>
  <r>
    <x v="5887"/>
    <n v="23.93"/>
    <n v="24.440000999999999"/>
    <n v="23.860001"/>
    <x v="2936"/>
    <n v="18.650107999999999"/>
    <n v="64555100"/>
  </r>
  <r>
    <x v="5888"/>
    <n v="24.4"/>
    <n v="24.450001"/>
    <n v="24.1"/>
    <x v="2473"/>
    <n v="18.535643"/>
    <n v="52860100"/>
  </r>
  <r>
    <x v="5889"/>
    <n v="24.440000999999999"/>
    <n v="24.530000999999999"/>
    <n v="24.15"/>
    <x v="2569"/>
    <n v="18.718789999999998"/>
    <n v="47798000"/>
  </r>
  <r>
    <x v="5890"/>
    <n v="24.690000999999999"/>
    <n v="24.83"/>
    <n v="24.370000999999998"/>
    <x v="3281"/>
    <n v="18.947717999999998"/>
    <n v="52028400"/>
  </r>
  <r>
    <x v="5891"/>
    <n v="24.700001"/>
    <n v="24.9"/>
    <n v="24.51"/>
    <x v="3282"/>
    <n v="18.924824000000001"/>
    <n v="66192500"/>
  </r>
  <r>
    <x v="5892"/>
    <n v="24.93"/>
    <n v="25.719999000000001"/>
    <n v="24.84"/>
    <x v="3283"/>
    <n v="19.504778000000002"/>
    <n v="106060500"/>
  </r>
  <r>
    <x v="5893"/>
    <n v="23.610001"/>
    <n v="23.889999"/>
    <n v="22.809999000000001"/>
    <x v="3268"/>
    <n v="17.894648"/>
    <n v="215135700"/>
  </r>
  <r>
    <x v="5894"/>
    <n v="23.440000999999999"/>
    <n v="23.450001"/>
    <n v="22.9"/>
    <x v="3280"/>
    <n v="17.635186999999998"/>
    <n v="80950000"/>
  </r>
  <r>
    <x v="5895"/>
    <n v="22.99"/>
    <n v="23.549999"/>
    <n v="22.9"/>
    <x v="2921"/>
    <n v="17.909904000000001"/>
    <n v="70288400"/>
  </r>
  <r>
    <x v="5896"/>
    <n v="23.73"/>
    <n v="23.91"/>
    <n v="23.34"/>
    <x v="2892"/>
    <n v="18.161729999999999"/>
    <n v="73626900"/>
  </r>
  <r>
    <x v="5897"/>
    <n v="24.200001"/>
    <n v="24.43"/>
    <n v="23.709999"/>
    <x v="3284"/>
    <n v="18.169357000000002"/>
    <n v="67820000"/>
  </r>
  <r>
    <x v="5898"/>
    <n v="23.77"/>
    <n v="24.07"/>
    <n v="23.5"/>
    <x v="3285"/>
    <n v="17.948055"/>
    <n v="54258200"/>
  </r>
  <r>
    <x v="5899"/>
    <n v="23.82"/>
    <n v="23.860001"/>
    <n v="23.5"/>
    <x v="3286"/>
    <n v="18.184615999999998"/>
    <n v="46902900"/>
  </r>
  <r>
    <x v="5900"/>
    <n v="23.68"/>
    <n v="23.790001"/>
    <n v="23.530000999999999"/>
    <x v="2894"/>
    <n v="18.138826000000002"/>
    <n v="49218300"/>
  </r>
  <r>
    <x v="5901"/>
    <n v="23.84"/>
    <n v="24.25"/>
    <n v="23.790001"/>
    <x v="3284"/>
    <n v="18.169357000000002"/>
    <n v="53310300"/>
  </r>
  <r>
    <x v="5902"/>
    <n v="23.93"/>
    <n v="23.98"/>
    <n v="23.27"/>
    <x v="3287"/>
    <n v="17.902269"/>
    <n v="59686000"/>
  </r>
  <r>
    <x v="5903"/>
    <n v="23.75"/>
    <n v="23.82"/>
    <n v="23.5"/>
    <x v="2581"/>
    <n v="17.978584000000001"/>
    <n v="46169700"/>
  </r>
  <r>
    <x v="5904"/>
    <n v="23.459999"/>
    <n v="23.549999"/>
    <n v="23.299999"/>
    <x v="3267"/>
    <n v="17.871749999999999"/>
    <n v="35261900"/>
  </r>
  <r>
    <x v="5905"/>
    <n v="23.32"/>
    <n v="23.4"/>
    <n v="23.049999"/>
    <x v="3288"/>
    <n v="17.650452000000001"/>
    <n v="33615800"/>
  </r>
  <r>
    <x v="5906"/>
    <n v="23.129999000000002"/>
    <n v="23.9"/>
    <n v="23.030000999999999"/>
    <x v="2456"/>
    <n v="17.955687999999999"/>
    <n v="61972300"/>
  </r>
  <r>
    <x v="5907"/>
    <n v="23.629999000000002"/>
    <n v="23.85"/>
    <n v="23.4"/>
    <x v="2893"/>
    <n v="18.024366000000001"/>
    <n v="38954500"/>
  </r>
  <r>
    <x v="5908"/>
    <n v="23.620000999999998"/>
    <n v="23.799999"/>
    <n v="23.51"/>
    <x v="2564"/>
    <n v="18.077787000000001"/>
    <n v="46330200"/>
  </r>
  <r>
    <x v="5909"/>
    <n v="23.32"/>
    <n v="23.6"/>
    <n v="23.23"/>
    <x v="1571"/>
    <n v="17.74202"/>
    <n v="42474400"/>
  </r>
  <r>
    <x v="5910"/>
    <n v="23.290001"/>
    <n v="23.65"/>
    <n v="23.27"/>
    <x v="2575"/>
    <n v="18.095015"/>
    <n v="38878900"/>
  </r>
  <r>
    <x v="5911"/>
    <n v="23.25"/>
    <n v="23.719999000000001"/>
    <n v="23.25"/>
    <x v="3289"/>
    <n v="18.148741000000001"/>
    <n v="41821300"/>
  </r>
  <r>
    <x v="5912"/>
    <n v="23.6"/>
    <n v="23.870000999999998"/>
    <n v="23.540001"/>
    <x v="2625"/>
    <n v="18.164086999999999"/>
    <n v="39505900"/>
  </r>
  <r>
    <x v="5913"/>
    <n v="23.93"/>
    <n v="24.42"/>
    <n v="23.77"/>
    <x v="2556"/>
    <n v="18.731956"/>
    <n v="69011400"/>
  </r>
  <r>
    <x v="5914"/>
    <n v="24.41"/>
    <n v="24.73"/>
    <n v="24.280000999999999"/>
    <x v="2621"/>
    <n v="18.908456999999999"/>
    <n v="54180900"/>
  </r>
  <r>
    <x v="5915"/>
    <n v="24.6"/>
    <n v="24.82"/>
    <n v="24.459999"/>
    <x v="2621"/>
    <n v="18.908456999999999"/>
    <n v="43980300"/>
  </r>
  <r>
    <x v="5916"/>
    <n v="24.59"/>
    <n v="24.75"/>
    <n v="24.42"/>
    <x v="3290"/>
    <n v="18.839379999999998"/>
    <n v="41079000"/>
  </r>
  <r>
    <x v="5917"/>
    <n v="24.41"/>
    <n v="24.780000999999999"/>
    <n v="24.299999"/>
    <x v="2464"/>
    <n v="18.946819000000001"/>
    <n v="45495600"/>
  </r>
  <r>
    <x v="5918"/>
    <n v="25.07"/>
    <n v="25.49"/>
    <n v="24.610001"/>
    <x v="2627"/>
    <n v="18.939153999999998"/>
    <n v="55808000"/>
  </r>
  <r>
    <x v="5919"/>
    <n v="24.57"/>
    <n v="24.85"/>
    <n v="24.290001"/>
    <x v="2628"/>
    <n v="18.916122000000001"/>
    <n v="49592800"/>
  </r>
  <r>
    <x v="5920"/>
    <n v="24.35"/>
    <n v="24.74"/>
    <n v="23.9"/>
    <x v="2932"/>
    <n v="18.417325999999999"/>
    <n v="62608500"/>
  </r>
  <r>
    <x v="5921"/>
    <n v="23.82"/>
    <n v="24.139999"/>
    <n v="23.780000999999999"/>
    <x v="3273"/>
    <n v="18.309887"/>
    <n v="40771300"/>
  </r>
  <r>
    <x v="5922"/>
    <n v="23.91"/>
    <n v="24.139999"/>
    <n v="23.76"/>
    <x v="3291"/>
    <n v="18.501736000000001"/>
    <n v="34120000"/>
  </r>
  <r>
    <x v="5923"/>
    <n v="24.09"/>
    <n v="24.799999"/>
    <n v="24.08"/>
    <x v="2938"/>
    <n v="18.893098999999999"/>
    <n v="44999700"/>
  </r>
  <r>
    <x v="5924"/>
    <n v="24.620000999999998"/>
    <n v="24.84"/>
    <n v="24.41"/>
    <x v="3292"/>
    <n v="19.046579000000001"/>
    <n v="53737100"/>
  </r>
  <r>
    <x v="5925"/>
    <n v="24.74"/>
    <n v="24.950001"/>
    <n v="24.67"/>
    <x v="2390"/>
    <n v="19.015888"/>
    <n v="49900300"/>
  </r>
  <r>
    <x v="5926"/>
    <n v="24.799999"/>
    <n v="25.049999"/>
    <n v="24.65"/>
    <x v="2458"/>
    <n v="19.184716999999999"/>
    <n v="46256000"/>
  </r>
  <r>
    <x v="5927"/>
    <n v="24.93"/>
    <n v="25.17"/>
    <n v="24.809999000000001"/>
    <x v="2586"/>
    <n v="19.077276000000001"/>
    <n v="54303500"/>
  </r>
  <r>
    <x v="5928"/>
    <n v="24.65"/>
    <n v="25.09"/>
    <n v="24.639999"/>
    <x v="2458"/>
    <n v="19.184716999999999"/>
    <n v="42806800"/>
  </r>
  <r>
    <x v="5929"/>
    <n v="24.969999000000001"/>
    <n v="25.27"/>
    <n v="24.860001"/>
    <x v="2746"/>
    <n v="19.338187999999999"/>
    <n v="44716600"/>
  </r>
  <r>
    <x v="5930"/>
    <n v="25.25"/>
    <n v="25.35"/>
    <n v="24.950001"/>
    <x v="2746"/>
    <n v="19.338187999999999"/>
    <n v="50055800"/>
  </r>
  <r>
    <x v="5931"/>
    <n v="25.059999000000001"/>
    <n v="25.379999000000002"/>
    <n v="25.059999000000001"/>
    <x v="2852"/>
    <n v="19.414926999999999"/>
    <n v="42428800"/>
  </r>
  <r>
    <x v="5932"/>
    <n v="25.459999"/>
    <n v="25.48"/>
    <n v="25.1"/>
    <x v="2634"/>
    <n v="19.384232999999998"/>
    <n v="68016500"/>
  </r>
  <r>
    <x v="5933"/>
    <n v="25.110001"/>
    <n v="25.370000999999998"/>
    <n v="25.1"/>
    <x v="2852"/>
    <n v="19.414926999999999"/>
    <n v="28878700"/>
  </r>
  <r>
    <x v="5934"/>
    <n v="25.4"/>
    <n v="25.82"/>
    <n v="25.290001"/>
    <x v="3293"/>
    <n v="19.775600000000001"/>
    <n v="61376700"/>
  </r>
  <r>
    <x v="5935"/>
    <n v="25.92"/>
    <n v="26.25"/>
    <n v="25.639999"/>
    <x v="2655"/>
    <n v="19.729557"/>
    <n v="60599900"/>
  </r>
  <r>
    <x v="5936"/>
    <n v="25.92"/>
    <n v="26.110001"/>
    <n v="25.66"/>
    <x v="2758"/>
    <n v="19.906057000000001"/>
    <n v="56302900"/>
  </r>
  <r>
    <x v="5937"/>
    <n v="25.690000999999999"/>
    <n v="25.82"/>
    <n v="25.52"/>
    <x v="2860"/>
    <n v="19.606774999999999"/>
    <n v="50158900"/>
  </r>
  <r>
    <x v="5938"/>
    <n v="25.6"/>
    <n v="26.16"/>
    <n v="25.6"/>
    <x v="2411"/>
    <n v="19.821646000000001"/>
    <n v="44358000"/>
  </r>
  <r>
    <x v="5939"/>
    <n v="25.91"/>
    <n v="25.959999"/>
    <n v="25.690000999999999"/>
    <x v="2386"/>
    <n v="19.760252000000001"/>
    <n v="39050300"/>
  </r>
  <r>
    <x v="5940"/>
    <n v="25.76"/>
    <n v="25.99"/>
    <n v="25.379999000000002"/>
    <x v="2430"/>
    <n v="19.73723"/>
    <n v="63533400"/>
  </r>
  <r>
    <x v="5941"/>
    <n v="25.41"/>
    <n v="25.469999000000001"/>
    <n v="24.799999"/>
    <x v="2622"/>
    <n v="19.092628000000001"/>
    <n v="75958100"/>
  </r>
  <r>
    <x v="5942"/>
    <n v="24.459999"/>
    <n v="25.09"/>
    <n v="24.43"/>
    <x v="2568"/>
    <n v="19.154024"/>
    <n v="51219700"/>
  </r>
  <r>
    <x v="5943"/>
    <n v="24.98"/>
    <n v="25.059999000000001"/>
    <n v="24.52"/>
    <x v="2621"/>
    <n v="18.908456999999999"/>
    <n v="60804900"/>
  </r>
  <r>
    <x v="5944"/>
    <n v="24.68"/>
    <n v="25.209999"/>
    <n v="24.66"/>
    <x v="2699"/>
    <n v="19.269131000000002"/>
    <n v="48795300"/>
  </r>
  <r>
    <x v="5945"/>
    <n v="24.99"/>
    <n v="25.18"/>
    <n v="24.879999000000002"/>
    <x v="2698"/>
    <n v="19.261448000000001"/>
    <n v="38472700"/>
  </r>
  <r>
    <x v="5946"/>
    <n v="25.440000999999999"/>
    <n v="25.9"/>
    <n v="25.219999000000001"/>
    <x v="2703"/>
    <n v="19.698858000000001"/>
    <n v="60521300"/>
  </r>
  <r>
    <x v="5947"/>
    <n v="25.57"/>
    <n v="25.790001"/>
    <n v="25.459999"/>
    <x v="2860"/>
    <n v="19.606774999999999"/>
    <n v="39520000"/>
  </r>
  <r>
    <x v="5948"/>
    <n v="25.66"/>
    <n v="25.889999"/>
    <n v="25.549999"/>
    <x v="2430"/>
    <n v="19.73723"/>
    <n v="29145800"/>
  </r>
  <r>
    <x v="5949"/>
    <n v="25.59"/>
    <n v="25.940000999999999"/>
    <n v="25.52"/>
    <x v="2856"/>
    <n v="19.806294999999999"/>
    <n v="37749000"/>
  </r>
  <r>
    <x v="5950"/>
    <n v="26.139999"/>
    <n v="26.200001"/>
    <n v="25.82"/>
    <x v="2630"/>
    <n v="19.921403999999999"/>
    <n v="45365500"/>
  </r>
  <r>
    <x v="5951"/>
    <n v="25.9"/>
    <n v="26.709999"/>
    <n v="25.9"/>
    <x v="3294"/>
    <n v="20.496943000000002"/>
    <n v="65620100"/>
  </r>
  <r>
    <x v="5952"/>
    <n v="26.450001"/>
    <n v="26.629999000000002"/>
    <n v="26.1"/>
    <x v="1666"/>
    <n v="20.335788999999998"/>
    <n v="56500900"/>
  </r>
  <r>
    <x v="5953"/>
    <n v="26.49"/>
    <n v="26.58"/>
    <n v="26.25"/>
    <x v="2611"/>
    <n v="20.228361"/>
    <n v="48143200"/>
  </r>
  <r>
    <x v="5954"/>
    <n v="26.42"/>
    <n v="26.51"/>
    <n v="25.940000999999999"/>
    <x v="2610"/>
    <n v="20.236034"/>
    <n v="54604700"/>
  </r>
  <r>
    <x v="5955"/>
    <n v="26.459999"/>
    <n v="26.75"/>
    <n v="26.389999"/>
    <x v="2869"/>
    <n v="20.397192"/>
    <n v="61672700"/>
  </r>
  <r>
    <x v="5956"/>
    <n v="26.559999000000001"/>
    <n v="26.719999000000001"/>
    <n v="26.129999000000002"/>
    <x v="2704"/>
    <n v="20.404858000000001"/>
    <n v="61600000"/>
  </r>
  <r>
    <x v="5957"/>
    <n v="29.200001"/>
    <n v="29.35"/>
    <n v="27.879999000000002"/>
    <x v="2770"/>
    <n v="21.502234000000001"/>
    <n v="281761000"/>
  </r>
  <r>
    <x v="5958"/>
    <n v="28.129999000000002"/>
    <n v="29.02"/>
    <n v="28.110001"/>
    <x v="2686"/>
    <n v="22.008697999999999"/>
    <n v="124149700"/>
  </r>
  <r>
    <x v="5959"/>
    <n v="28.73"/>
    <n v="28.879999000000002"/>
    <n v="28.440000999999999"/>
    <x v="3034"/>
    <n v="21.939637999999999"/>
    <n v="69685800"/>
  </r>
  <r>
    <x v="5960"/>
    <n v="28.24"/>
    <n v="28.77"/>
    <n v="27.950001"/>
    <x v="2770"/>
    <n v="21.502234000000001"/>
    <n v="73542400"/>
  </r>
  <r>
    <x v="5961"/>
    <n v="28.07"/>
    <n v="28.41"/>
    <n v="27.85"/>
    <x v="2253"/>
    <n v="21.655704"/>
    <n v="65225500"/>
  </r>
  <r>
    <x v="5962"/>
    <n v="28.030000999999999"/>
    <n v="28.4"/>
    <n v="27.66"/>
    <x v="3118"/>
    <n v="21.279678000000001"/>
    <n v="73371800"/>
  </r>
  <r>
    <x v="5963"/>
    <n v="27.700001"/>
    <n v="28.049999"/>
    <n v="27.41"/>
    <x v="3295"/>
    <n v="21.394794000000001"/>
    <n v="62428900"/>
  </r>
  <r>
    <x v="5964"/>
    <n v="27.639999"/>
    <n v="27.74"/>
    <n v="27.43"/>
    <x v="2787"/>
    <n v="21.126204999999999"/>
    <n v="50294800"/>
  </r>
  <r>
    <x v="5965"/>
    <n v="27.690000999999999"/>
    <n v="28.389999"/>
    <n v="27.620000999999998"/>
    <x v="2786"/>
    <n v="21.532921000000002"/>
    <n v="63898400"/>
  </r>
  <r>
    <x v="5966"/>
    <n v="28.52"/>
    <n v="28.74"/>
    <n v="28.280000999999999"/>
    <x v="2233"/>
    <n v="21.847555"/>
    <n v="52681700"/>
  </r>
  <r>
    <x v="5967"/>
    <n v="28.379999000000002"/>
    <n v="28.629999000000002"/>
    <n v="28.200001"/>
    <x v="2678"/>
    <n v="21.885919999999999"/>
    <n v="38908500"/>
  </r>
  <r>
    <x v="5968"/>
    <n v="28.620000999999998"/>
    <n v="29"/>
    <n v="28.530000999999999"/>
    <x v="2961"/>
    <n v="22.246592"/>
    <n v="57518000"/>
  </r>
  <r>
    <x v="5969"/>
    <n v="28.9"/>
    <n v="29.280000999999999"/>
    <n v="28.809999000000001"/>
    <x v="2984"/>
    <n v="22.261939999999999"/>
    <n v="65881100"/>
  </r>
  <r>
    <x v="5970"/>
    <n v="29.08"/>
    <n v="29.299999"/>
    <n v="29.02"/>
    <x v="2949"/>
    <n v="22.346350000000001"/>
    <n v="49693400"/>
  </r>
  <r>
    <x v="5971"/>
    <n v="29.01"/>
    <n v="29.49"/>
    <n v="29"/>
    <x v="2958"/>
    <n v="22.530529000000001"/>
    <n v="55352400"/>
  </r>
  <r>
    <x v="5972"/>
    <n v="29.469999000000001"/>
    <n v="29.790001"/>
    <n v="29.370000999999998"/>
    <x v="3296"/>
    <n v="22.737725999999999"/>
    <n v="53037600"/>
  </r>
  <r>
    <x v="5973"/>
    <n v="29.610001"/>
    <n v="29.799999"/>
    <n v="29.370000999999998"/>
    <x v="2344"/>
    <n v="22.668659000000002"/>
    <n v="54129500"/>
  </r>
  <r>
    <x v="5974"/>
    <n v="29.5"/>
    <n v="30"/>
    <n v="29.469999000000001"/>
    <x v="3031"/>
    <n v="23.123415000000001"/>
    <n v="75648900"/>
  </r>
  <r>
    <x v="5975"/>
    <n v="30"/>
    <n v="30.139999"/>
    <n v="29.809999000000001"/>
    <x v="3297"/>
    <n v="23.208200000000001"/>
    <n v="59431200"/>
  </r>
  <r>
    <x v="5976"/>
    <n v="29.99"/>
    <n v="30"/>
    <n v="29.700001"/>
    <x v="3115"/>
    <n v="22.953844"/>
    <n v="51967700"/>
  </r>
  <r>
    <x v="5977"/>
    <n v="29.66"/>
    <n v="29.77"/>
    <n v="29.43"/>
    <x v="3012"/>
    <n v="22.830518999999999"/>
    <n v="42647100"/>
  </r>
  <r>
    <x v="5978"/>
    <n v="29.84"/>
    <n v="30.01"/>
    <n v="29.700001"/>
    <x v="2997"/>
    <n v="23.077169000000001"/>
    <n v="41832700"/>
  </r>
  <r>
    <x v="5979"/>
    <n v="29.950001"/>
    <n v="29.99"/>
    <n v="29.75"/>
    <x v="3044"/>
    <n v="23.054051999999999"/>
    <n v="37341400"/>
  </r>
  <r>
    <x v="5980"/>
    <n v="29.809999000000001"/>
    <n v="29.860001"/>
    <n v="29.58"/>
    <x v="3298"/>
    <n v="22.961555000000001"/>
    <n v="32033500"/>
  </r>
  <r>
    <x v="5981"/>
    <n v="29.110001"/>
    <n v="29.389999"/>
    <n v="28.75"/>
    <x v="3108"/>
    <n v="22.522203000000001"/>
    <n v="29357900"/>
  </r>
  <r>
    <x v="5982"/>
    <n v="29.15"/>
    <n v="29.450001"/>
    <n v="29"/>
    <x v="3299"/>
    <n v="22.668659000000002"/>
    <n v="44172000"/>
  </r>
  <r>
    <x v="5983"/>
    <n v="29.52"/>
    <n v="30.049999"/>
    <n v="29.41"/>
    <x v="3018"/>
    <n v="23.131122999999999"/>
    <n v="49904200"/>
  </r>
  <r>
    <x v="5984"/>
    <n v="29.9"/>
    <n v="29.99"/>
    <n v="29.65"/>
    <x v="3115"/>
    <n v="22.953844"/>
    <n v="36308600"/>
  </r>
  <r>
    <x v="5985"/>
    <n v="29.84"/>
    <n v="30.200001"/>
    <n v="29.76"/>
    <x v="3023"/>
    <n v="22.992386"/>
    <n v="43095200"/>
  </r>
  <r>
    <x v="5986"/>
    <n v="30.049999"/>
    <n v="30.370000999999998"/>
    <n v="29.83"/>
    <x v="2814"/>
    <n v="23.108000000000001"/>
    <n v="58810700"/>
  </r>
  <r>
    <x v="5987"/>
    <n v="29.780000999999999"/>
    <n v="30.08"/>
    <n v="29.68"/>
    <x v="3298"/>
    <n v="22.961555000000001"/>
    <n v="38082700"/>
  </r>
  <r>
    <x v="5988"/>
    <n v="29.52"/>
    <n v="29.74"/>
    <n v="29.379999000000002"/>
    <x v="2957"/>
    <n v="22.791982999999998"/>
    <n v="37402200"/>
  </r>
  <r>
    <x v="5989"/>
    <n v="29.469999000000001"/>
    <n v="29.809999000000001"/>
    <n v="29.25"/>
    <x v="3041"/>
    <n v="22.899885000000001"/>
    <n v="44713300"/>
  </r>
  <r>
    <x v="5990"/>
    <n v="29.709999"/>
    <n v="29.959999"/>
    <n v="29.66"/>
    <x v="3022"/>
    <n v="23.023222000000001"/>
    <n v="45940200"/>
  </r>
  <r>
    <x v="5991"/>
    <n v="29.969999000000001"/>
    <n v="30"/>
    <n v="29.790001"/>
    <x v="3013"/>
    <n v="23.007795000000002"/>
    <n v="43744200"/>
  </r>
  <r>
    <x v="5992"/>
    <n v="29.91"/>
    <n v="30.16"/>
    <n v="29.9"/>
    <x v="3297"/>
    <n v="23.208200000000001"/>
    <n v="34651200"/>
  </r>
  <r>
    <x v="5993"/>
    <n v="29.889999"/>
    <n v="30.209999"/>
    <n v="29.879999000000002"/>
    <x v="2142"/>
    <n v="23.138828"/>
    <n v="49473200"/>
  </r>
  <r>
    <x v="5994"/>
    <n v="30.07"/>
    <n v="30.41"/>
    <n v="30.040001"/>
    <x v="3042"/>
    <n v="23.200495"/>
    <n v="55737800"/>
  </r>
  <r>
    <x v="5995"/>
    <n v="29.950001"/>
    <n v="29.959999"/>
    <n v="29.57"/>
    <x v="2673"/>
    <n v="22.815100000000001"/>
    <n v="43691200"/>
  </r>
  <r>
    <x v="5996"/>
    <n v="29.84"/>
    <n v="30.450001"/>
    <n v="29.799999"/>
    <x v="3300"/>
    <n v="23.4009"/>
    <n v="94118000"/>
  </r>
  <r>
    <x v="5997"/>
    <n v="30.4"/>
    <n v="30.84"/>
    <n v="30.370000999999998"/>
    <x v="3014"/>
    <n v="23.524222999999999"/>
    <n v="40129100"/>
  </r>
  <r>
    <x v="5998"/>
    <n v="30.6"/>
    <n v="30.93"/>
    <n v="30.540001"/>
    <x v="3301"/>
    <n v="23.755452999999999"/>
    <n v="36321000"/>
  </r>
  <r>
    <x v="5999"/>
    <n v="30.709999"/>
    <n v="30.950001"/>
    <n v="30.690000999999999"/>
    <x v="2272"/>
    <n v="23.832536999999999"/>
    <n v="28362700"/>
  </r>
  <r>
    <x v="6000"/>
    <n v="30.879999000000002"/>
    <n v="31"/>
    <n v="30.76"/>
    <x v="2973"/>
    <n v="23.894192"/>
    <n v="11083900"/>
  </r>
  <r>
    <x v="6001"/>
    <n v="31"/>
    <n v="31.18"/>
    <n v="30.889999"/>
    <x v="3302"/>
    <n v="24.025230000000001"/>
    <n v="25384000"/>
  </r>
  <r>
    <x v="6002"/>
    <n v="31.35"/>
    <n v="31.5"/>
    <n v="31.23"/>
    <x v="3303"/>
    <n v="24.194797999999999"/>
    <n v="29716200"/>
  </r>
  <r>
    <x v="6003"/>
    <n v="31.15"/>
    <n v="31.290001"/>
    <n v="30.799999"/>
    <x v="3304"/>
    <n v="23.863361000000001"/>
    <n v="42006200"/>
  </r>
  <r>
    <x v="6004"/>
    <n v="30.98"/>
    <n v="30.99"/>
    <n v="30.48"/>
    <x v="2979"/>
    <n v="23.493393000000001"/>
    <n v="31929700"/>
  </r>
  <r>
    <x v="6005"/>
    <n v="30.620000999999998"/>
    <n v="31.1"/>
    <n v="30.59"/>
    <x v="3305"/>
    <n v="23.855656"/>
    <n v="38409100"/>
  </r>
  <r>
    <x v="6006"/>
    <n v="30.85"/>
    <n v="31.1"/>
    <n v="30.639999"/>
    <x v="3304"/>
    <n v="23.863361000000001"/>
    <n v="49749600"/>
  </r>
  <r>
    <x v="6007"/>
    <n v="30.879999000000002"/>
    <n v="31.08"/>
    <n v="30.52"/>
    <x v="3306"/>
    <n v="23.716911"/>
    <n v="58182400"/>
  </r>
  <r>
    <x v="6008"/>
    <n v="30.629999000000002"/>
    <n v="30.700001"/>
    <n v="30.190000999999999"/>
    <x v="2976"/>
    <n v="23.470265999999999"/>
    <n v="50559700"/>
  </r>
  <r>
    <x v="6009"/>
    <n v="30.280000999999999"/>
    <n v="30.879999000000002"/>
    <n v="30.24"/>
    <x v="2266"/>
    <n v="23.63213"/>
    <n v="51197400"/>
  </r>
  <r>
    <x v="6010"/>
    <n v="30.709999"/>
    <n v="30.76"/>
    <n v="30.120000999999998"/>
    <x v="3307"/>
    <n v="23.331524000000002"/>
    <n v="68754700"/>
  </r>
  <r>
    <x v="6011"/>
    <n v="30.15"/>
    <n v="30.4"/>
    <n v="29.91"/>
    <x v="2336"/>
    <n v="23.177364000000001"/>
    <n v="65912100"/>
  </r>
  <r>
    <x v="6012"/>
    <n v="30.26"/>
    <n v="30.52"/>
    <n v="30.01"/>
    <x v="3308"/>
    <n v="23.393191999999999"/>
    <n v="51863500"/>
  </r>
  <r>
    <x v="6013"/>
    <n v="30.309999000000001"/>
    <n v="31.1"/>
    <n v="30.26"/>
    <x v="3304"/>
    <n v="23.863361000000001"/>
    <n v="63228100"/>
  </r>
  <r>
    <x v="6014"/>
    <n v="31.08"/>
    <n v="31.24"/>
    <n v="30.709999"/>
    <x v="2980"/>
    <n v="23.786293000000001"/>
    <n v="79913200"/>
  </r>
  <r>
    <x v="6015"/>
    <n v="30.75"/>
    <n v="31.24"/>
    <n v="30.68"/>
    <x v="2268"/>
    <n v="23.971270000000001"/>
    <n v="46575700"/>
  </r>
  <r>
    <x v="6016"/>
    <n v="30.809999000000001"/>
    <n v="30.940000999999999"/>
    <n v="30.309999000000001"/>
    <x v="3010"/>
    <n v="23.578182000000002"/>
    <n v="54849500"/>
  </r>
  <r>
    <x v="6017"/>
    <n v="30.610001"/>
    <n v="30.719999000000001"/>
    <n v="30"/>
    <x v="3018"/>
    <n v="23.131122999999999"/>
    <n v="73086700"/>
  </r>
  <r>
    <x v="6018"/>
    <n v="30"/>
    <n v="30.200001"/>
    <n v="28.84"/>
    <x v="3030"/>
    <n v="22.321808000000001"/>
    <n v="102004600"/>
  </r>
  <r>
    <x v="6019"/>
    <n v="29.24"/>
    <n v="29.66"/>
    <n v="29.1"/>
    <x v="3309"/>
    <n v="22.599287"/>
    <n v="63373000"/>
  </r>
  <r>
    <x v="6020"/>
    <n v="29.200001"/>
    <n v="29.85"/>
    <n v="29.09"/>
    <x v="2125"/>
    <n v="22.738030999999999"/>
    <n v="66639900"/>
  </r>
  <r>
    <x v="6021"/>
    <n v="29.35"/>
    <n v="29.82"/>
    <n v="29.02"/>
    <x v="3310"/>
    <n v="22.869066"/>
    <n v="63949500"/>
  </r>
  <r>
    <x v="6022"/>
    <n v="29.84"/>
    <n v="29.870000999999998"/>
    <n v="28.889999"/>
    <x v="3035"/>
    <n v="22.475960000000001"/>
    <n v="117513700"/>
  </r>
  <r>
    <x v="6023"/>
    <n v="29.9"/>
    <n v="29.92"/>
    <n v="27.66"/>
    <x v="2804"/>
    <n v="21.720597999999999"/>
    <n v="193888500"/>
  </r>
  <r>
    <x v="6024"/>
    <n v="28.389999"/>
    <n v="28.48"/>
    <n v="27.92"/>
    <x v="2803"/>
    <n v="21.897874999999999"/>
    <n v="85931100"/>
  </r>
  <r>
    <x v="6025"/>
    <n v="28.370000999999998"/>
    <n v="28.5"/>
    <n v="28.139999"/>
    <x v="2674"/>
    <n v="21.936409000000001"/>
    <n v="54413700"/>
  </r>
  <r>
    <x v="6026"/>
    <n v="28.26"/>
    <n v="28.790001"/>
    <n v="28.120000999999998"/>
    <x v="2769"/>
    <n v="22.067446"/>
    <n v="61397900"/>
  </r>
  <r>
    <x v="6027"/>
    <n v="28.379999000000002"/>
    <n v="28.5"/>
    <n v="27.809999000000001"/>
    <x v="2419"/>
    <n v="21.458528999999999"/>
    <n v="77850000"/>
  </r>
  <r>
    <x v="6028"/>
    <n v="28"/>
    <n v="28.280000999999999"/>
    <n v="27.57"/>
    <x v="2770"/>
    <n v="21.597270999999999"/>
    <n v="80960100"/>
  </r>
  <r>
    <x v="6029"/>
    <n v="28.01"/>
    <n v="28.08"/>
    <n v="27.57"/>
    <x v="2789"/>
    <n v="21.366033999999999"/>
    <n v="52820600"/>
  </r>
  <r>
    <x v="6030"/>
    <n v="27.969999000000001"/>
    <n v="28.34"/>
    <n v="27.75"/>
    <x v="2237"/>
    <n v="21.589562999999998"/>
    <n v="59195800"/>
  </r>
  <r>
    <x v="6031"/>
    <n v="28.030000999999999"/>
    <n v="28.24"/>
    <n v="27.84"/>
    <x v="2802"/>
    <n v="21.574148000000001"/>
    <n v="48591300"/>
  </r>
  <r>
    <x v="6032"/>
    <n v="27.93"/>
    <n v="28.4"/>
    <n v="27.700001"/>
    <x v="2799"/>
    <n v="21.674347000000001"/>
    <n v="65993700"/>
  </r>
  <r>
    <x v="6033"/>
    <n v="27.809999000000001"/>
    <n v="28.059999000000001"/>
    <n v="27.58"/>
    <x v="3033"/>
    <n v="21.527899000000001"/>
    <n v="81117200"/>
  </r>
  <r>
    <x v="6034"/>
    <n v="28.129999000000002"/>
    <n v="28.370000999999998"/>
    <n v="28.02"/>
    <x v="2763"/>
    <n v="21.953810000000001"/>
    <n v="51935600"/>
  </r>
  <r>
    <x v="6035"/>
    <n v="28.530000999999999"/>
    <n v="28.65"/>
    <n v="28.360001"/>
    <x v="3034"/>
    <n v="22.139665999999998"/>
    <n v="45882900"/>
  </r>
  <r>
    <x v="6036"/>
    <n v="28.59"/>
    <n v="29.030000999999999"/>
    <n v="28.51"/>
    <x v="3311"/>
    <n v="22.433933"/>
    <n v="42856500"/>
  </r>
  <r>
    <x v="6037"/>
    <n v="28.790001"/>
    <n v="28.92"/>
    <n v="28.690000999999999"/>
    <x v="2944"/>
    <n v="22.279057999999999"/>
    <n v="44451800"/>
  </r>
  <r>
    <x v="6038"/>
    <n v="28.84"/>
    <n v="28.940000999999999"/>
    <n v="28.65"/>
    <x v="2945"/>
    <n v="22.248075"/>
    <n v="36707100"/>
  </r>
  <r>
    <x v="6039"/>
    <n v="28.68"/>
    <n v="28.83"/>
    <n v="28.09"/>
    <x v="3312"/>
    <n v="21.938326"/>
    <n v="52266200"/>
  </r>
  <r>
    <x v="6040"/>
    <n v="28.52"/>
    <n v="28.790001"/>
    <n v="28.379999000000002"/>
    <x v="2769"/>
    <n v="22.170646999999999"/>
    <n v="43165900"/>
  </r>
  <r>
    <x v="6041"/>
    <n v="28.27"/>
    <n v="28.65"/>
    <n v="28.02"/>
    <x v="2381"/>
    <n v="22.147411000000002"/>
    <n v="48735300"/>
  </r>
  <r>
    <x v="6042"/>
    <n v="28.65"/>
    <n v="28.85"/>
    <n v="28.51"/>
    <x v="3036"/>
    <n v="22.201611"/>
    <n v="40370600"/>
  </r>
  <r>
    <x v="6043"/>
    <n v="28.77"/>
    <n v="29.049999"/>
    <n v="28.530000999999999"/>
    <x v="2255"/>
    <n v="22.472649000000001"/>
    <n v="43805400"/>
  </r>
  <r>
    <x v="6044"/>
    <n v="29.08"/>
    <n v="29.299999"/>
    <n v="28.24"/>
    <x v="2674"/>
    <n v="22.038997999999999"/>
    <n v="93123900"/>
  </r>
  <r>
    <x v="6045"/>
    <n v="28.51"/>
    <n v="28.610001"/>
    <n v="28.35"/>
    <x v="2674"/>
    <n v="22.038997999999999"/>
    <n v="48442100"/>
  </r>
  <r>
    <x v="6046"/>
    <n v="28.459999"/>
    <n v="28.65"/>
    <n v="28.27"/>
    <x v="2769"/>
    <n v="22.170646999999999"/>
    <n v="42890600"/>
  </r>
  <r>
    <x v="6047"/>
    <n v="28.66"/>
    <n v="28.68"/>
    <n v="28.42"/>
    <x v="3034"/>
    <n v="22.139665999999998"/>
    <n v="56001800"/>
  </r>
  <r>
    <x v="6048"/>
    <n v="28.52"/>
    <n v="28.93"/>
    <n v="28.5"/>
    <x v="2769"/>
    <n v="22.170646999999999"/>
    <n v="39414500"/>
  </r>
  <r>
    <x v="6049"/>
    <n v="28.559999000000001"/>
    <n v="29.110001"/>
    <n v="28.549999"/>
    <x v="2721"/>
    <n v="22.302288000000001"/>
    <n v="50271600"/>
  </r>
  <r>
    <x v="6050"/>
    <n v="28.860001"/>
    <n v="29.110001"/>
    <n v="28.799999"/>
    <x v="3311"/>
    <n v="22.433933"/>
    <n v="44891400"/>
  </r>
  <r>
    <x v="6051"/>
    <n v="28.889999"/>
    <n v="29.190000999999999"/>
    <n v="28.85"/>
    <x v="3106"/>
    <n v="22.596551999999999"/>
    <n v="35349700"/>
  </r>
  <r>
    <x v="6052"/>
    <n v="29.32"/>
    <n v="29.379999000000002"/>
    <n v="29.040001"/>
    <x v="3114"/>
    <n v="22.666250000000002"/>
    <n v="31700200"/>
  </r>
  <r>
    <x v="6053"/>
    <n v="29.18"/>
    <n v="29.370000999999998"/>
    <n v="29.01"/>
    <x v="3313"/>
    <n v="22.681726000000001"/>
    <n v="37512000"/>
  </r>
  <r>
    <x v="6054"/>
    <n v="29.42"/>
    <n v="29.49"/>
    <n v="29.200001"/>
    <x v="2983"/>
    <n v="22.743680999999999"/>
    <n v="36723500"/>
  </r>
  <r>
    <x v="6055"/>
    <n v="29.5"/>
    <n v="29.870000999999998"/>
    <n v="29.4"/>
    <x v="3296"/>
    <n v="22.945022999999999"/>
    <n v="50385700"/>
  </r>
  <r>
    <x v="6056"/>
    <n v="29.629999000000002"/>
    <n v="29.719999000000001"/>
    <n v="29.5"/>
    <x v="2981"/>
    <n v="22.929528999999999"/>
    <n v="43845200"/>
  </r>
  <r>
    <x v="6057"/>
    <n v="29.76"/>
    <n v="29.9"/>
    <n v="29.35"/>
    <x v="3314"/>
    <n v="22.914047"/>
    <n v="81332100"/>
  </r>
  <r>
    <x v="6058"/>
    <n v="29.5"/>
    <n v="29.700001"/>
    <n v="29.389999"/>
    <x v="2673"/>
    <n v="22.921793000000001"/>
    <n v="37718200"/>
  </r>
  <r>
    <x v="6059"/>
    <n v="29.59"/>
    <n v="29.9"/>
    <n v="29.41"/>
    <x v="3315"/>
    <n v="23.138622000000002"/>
    <n v="42026600"/>
  </r>
  <r>
    <x v="6060"/>
    <n v="29.719999000000001"/>
    <n v="29.85"/>
    <n v="29.6"/>
    <x v="3316"/>
    <n v="22.960505000000001"/>
    <n v="33987700"/>
  </r>
  <r>
    <x v="6061"/>
    <n v="29.83"/>
    <n v="30.57"/>
    <n v="29.799999"/>
    <x v="3018"/>
    <n v="23.239287999999998"/>
    <n v="73168700"/>
  </r>
  <r>
    <x v="6062"/>
    <n v="30.09"/>
    <n v="30.200001"/>
    <n v="29.59"/>
    <x v="2971"/>
    <n v="22.968260000000001"/>
    <n v="55595500"/>
  </r>
  <r>
    <x v="6063"/>
    <n v="29.709999"/>
    <n v="29.82"/>
    <n v="29.549999"/>
    <x v="3314"/>
    <n v="22.914047"/>
    <n v="33336000"/>
  </r>
  <r>
    <x v="6064"/>
    <n v="29.629999000000002"/>
    <n v="29.860001"/>
    <n v="29.5"/>
    <x v="2812"/>
    <n v="23.053436000000001"/>
    <n v="34954800"/>
  </r>
  <r>
    <x v="6065"/>
    <n v="29.639999"/>
    <n v="29.719999000000001"/>
    <n v="29.17"/>
    <x v="3313"/>
    <n v="22.681726000000001"/>
    <n v="63760000"/>
  </r>
  <r>
    <x v="6066"/>
    <n v="29.35"/>
    <n v="29.540001"/>
    <n v="28.620000999999998"/>
    <x v="3035"/>
    <n v="22.581066"/>
    <n v="74768100"/>
  </r>
  <r>
    <x v="6067"/>
    <n v="29.129999000000002"/>
    <n v="29.43"/>
    <n v="29.030000999999999"/>
    <x v="3114"/>
    <n v="22.666250000000002"/>
    <n v="34331200"/>
  </r>
  <r>
    <x v="6068"/>
    <n v="29.15"/>
    <n v="29.58"/>
    <n v="28.98"/>
    <x v="3309"/>
    <n v="22.704958000000001"/>
    <n v="47366800"/>
  </r>
  <r>
    <x v="6069"/>
    <n v="29.16"/>
    <n v="29.559999000000001"/>
    <n v="29.139999"/>
    <x v="2689"/>
    <n v="22.728199"/>
    <n v="58318800"/>
  </r>
  <r>
    <x v="6070"/>
    <n v="29.32"/>
    <n v="29.98"/>
    <n v="29.299999"/>
    <x v="2953"/>
    <n v="23.169594"/>
    <n v="63713800"/>
  </r>
  <r>
    <x v="6071"/>
    <n v="29.950001"/>
    <n v="30.41"/>
    <n v="29.9"/>
    <x v="3317"/>
    <n v="23.494837"/>
    <n v="54752500"/>
  </r>
  <r>
    <x v="6072"/>
    <n v="30.25"/>
    <n v="30.49"/>
    <n v="30.209999"/>
    <x v="3046"/>
    <n v="23.479343"/>
    <n v="37068800"/>
  </r>
  <r>
    <x v="6073"/>
    <n v="30.15"/>
    <n v="30.5"/>
    <n v="30.129999000000002"/>
    <x v="2976"/>
    <n v="23.580020999999999"/>
    <n v="41374600"/>
  </r>
  <r>
    <x v="6074"/>
    <n v="30.790001"/>
    <n v="31"/>
    <n v="30.66"/>
    <x v="3301"/>
    <n v="23.866547000000001"/>
    <n v="68941200"/>
  </r>
  <r>
    <x v="6075"/>
    <n v="30.82"/>
    <n v="30.950001"/>
    <n v="30.709999"/>
    <x v="3318"/>
    <n v="23.905263999999999"/>
    <n v="52745400"/>
  </r>
  <r>
    <x v="6076"/>
    <n v="30.790001"/>
    <n v="30.98"/>
    <n v="30.6"/>
    <x v="3319"/>
    <n v="23.750392999999999"/>
    <n v="88703100"/>
  </r>
  <r>
    <x v="6077"/>
    <n v="30.77"/>
    <n v="31.25"/>
    <n v="30.76"/>
    <x v="3320"/>
    <n v="24.036909000000001"/>
    <n v="64970300"/>
  </r>
  <r>
    <x v="6078"/>
    <n v="31.219999000000001"/>
    <n v="31.440000999999999"/>
    <n v="31.129999000000002"/>
    <x v="2352"/>
    <n v="24.284701999999999"/>
    <n v="52199500"/>
  </r>
  <r>
    <x v="6079"/>
    <n v="31.33"/>
    <n v="31.5"/>
    <n v="31.23"/>
    <x v="2329"/>
    <n v="24.261478"/>
    <n v="55343100"/>
  </r>
  <r>
    <x v="6080"/>
    <n v="31.040001"/>
    <n v="31.530000999999999"/>
    <n v="30.9"/>
    <x v="3303"/>
    <n v="24.307939999999999"/>
    <n v="84847600"/>
  </r>
  <r>
    <x v="6081"/>
    <n v="31.120000999999998"/>
    <n v="31.58"/>
    <n v="30.65"/>
    <x v="3304"/>
    <n v="23.974957"/>
    <n v="126766600"/>
  </r>
  <r>
    <x v="6082"/>
    <n v="31"/>
    <n v="31.280000999999999"/>
    <n v="30.860001"/>
    <x v="2974"/>
    <n v="24.091114000000001"/>
    <n v="63649300"/>
  </r>
  <r>
    <x v="6083"/>
    <n v="30.950001"/>
    <n v="31.25"/>
    <n v="30.75"/>
    <x v="3321"/>
    <n v="23.889769000000001"/>
    <n v="68730900"/>
  </r>
  <r>
    <x v="6084"/>
    <n v="30.92"/>
    <n v="31"/>
    <n v="30.620000999999998"/>
    <x v="2337"/>
    <n v="23.936235"/>
    <n v="64557900"/>
  </r>
  <r>
    <x v="6085"/>
    <n v="30.93"/>
    <n v="31.43"/>
    <n v="30.67"/>
    <x v="2973"/>
    <n v="24.005932000000001"/>
    <n v="52665200"/>
  </r>
  <r>
    <x v="6086"/>
    <n v="31.07"/>
    <n v="31.08"/>
    <n v="30.52"/>
    <x v="3322"/>
    <n v="23.649713999999999"/>
    <n v="63214800"/>
  </r>
  <r>
    <x v="6087"/>
    <n v="30.67"/>
    <n v="31.059999000000001"/>
    <n v="30.58"/>
    <x v="2980"/>
    <n v="23.897518000000002"/>
    <n v="43989500"/>
  </r>
  <r>
    <x v="6088"/>
    <n v="30.52"/>
    <n v="30.549999"/>
    <n v="29.75"/>
    <x v="3323"/>
    <n v="23.332218000000001"/>
    <n v="82085600"/>
  </r>
  <r>
    <x v="6089"/>
    <n v="29.77"/>
    <n v="30.09"/>
    <n v="29.690000999999999"/>
    <x v="3013"/>
    <n v="23.115390999999999"/>
    <n v="66833800"/>
  </r>
  <r>
    <x v="6090"/>
    <n v="29.59"/>
    <n v="29.879999000000002"/>
    <n v="27.91"/>
    <x v="2946"/>
    <n v="22.441675"/>
    <n v="128613000"/>
  </r>
  <r>
    <x v="6091"/>
    <n v="28.93"/>
    <n v="28.950001"/>
    <n v="27.32"/>
    <x v="2714"/>
    <n v="21.845392"/>
    <n v="173718100"/>
  </r>
  <r>
    <x v="6092"/>
    <n v="29.01"/>
    <n v="29.48"/>
    <n v="28.709999"/>
    <x v="2683"/>
    <n v="22.410703999999999"/>
    <n v="86653300"/>
  </r>
  <r>
    <x v="6093"/>
    <n v="28.68"/>
    <n v="29.65"/>
    <n v="28.57"/>
    <x v="3324"/>
    <n v="22.364239000000001"/>
    <n v="63789400"/>
  </r>
  <r>
    <x v="6094"/>
    <n v="28.98"/>
    <n v="29.58"/>
    <n v="28.92"/>
    <x v="2270"/>
    <n v="22.797889999999999"/>
    <n v="47146800"/>
  </r>
  <r>
    <x v="6095"/>
    <n v="29.26"/>
    <n v="29.73"/>
    <n v="29.18"/>
    <x v="2948"/>
    <n v="22.643011000000001"/>
    <n v="45188800"/>
  </r>
  <r>
    <x v="6096"/>
    <n v="29.200001"/>
    <n v="29.209999"/>
    <n v="28.639999"/>
    <x v="2688"/>
    <n v="22.402950000000001"/>
    <n v="63334000"/>
  </r>
  <r>
    <x v="6097"/>
    <n v="29.120000999999998"/>
    <n v="29.23"/>
    <n v="28.450001"/>
    <x v="2683"/>
    <n v="22.410703999999999"/>
    <n v="46053300"/>
  </r>
  <r>
    <x v="6098"/>
    <n v="28.870000999999998"/>
    <n v="29"/>
    <n v="28.4"/>
    <x v="2381"/>
    <n v="22.247347000000001"/>
    <n v="52690600"/>
  </r>
  <r>
    <x v="6099"/>
    <n v="28.52"/>
    <n v="28.690000999999999"/>
    <n v="27.790001"/>
    <x v="2675"/>
    <n v="21.967310000000001"/>
    <n v="61746700"/>
  </r>
  <r>
    <x v="6100"/>
    <n v="27.65"/>
    <n v="27.84"/>
    <n v="27.040001"/>
    <x v="2417"/>
    <n v="21.088303"/>
    <n v="87991100"/>
  </r>
  <r>
    <x v="6101"/>
    <n v="26.629999000000002"/>
    <n v="27.110001"/>
    <n v="26.440000999999999"/>
    <x v="2825"/>
    <n v="20.878278999999999"/>
    <n v="117596300"/>
  </r>
  <r>
    <x v="6102"/>
    <n v="26.85"/>
    <n v="26.860001"/>
    <n v="26.26"/>
    <x v="2830"/>
    <n v="20.434885000000001"/>
    <n v="73711700"/>
  </r>
  <r>
    <x v="6103"/>
    <n v="25.65"/>
    <n v="26.33"/>
    <n v="25.379999000000002"/>
    <x v="2631"/>
    <n v="20.279309999999999"/>
    <n v="98373600"/>
  </r>
  <r>
    <x v="6104"/>
    <n v="26.23"/>
    <n v="26.610001"/>
    <n v="24.559999000000001"/>
    <x v="3124"/>
    <n v="19.454758000000002"/>
    <n v="176684100"/>
  </r>
  <r>
    <x v="6105"/>
    <n v="25.73"/>
    <n v="26.360001"/>
    <n v="25.73"/>
    <x v="2438"/>
    <n v="20.224855000000002"/>
    <n v="136433600"/>
  </r>
  <r>
    <x v="6106"/>
    <n v="25.84"/>
    <n v="26.120000999999998"/>
    <n v="25.66"/>
    <x v="2606"/>
    <n v="20.069284"/>
    <n v="67496900"/>
  </r>
  <r>
    <x v="6107"/>
    <n v="25.530000999999999"/>
    <n v="26.309999000000001"/>
    <n v="25.52"/>
    <x v="2759"/>
    <n v="20.139292000000001"/>
    <n v="76152400"/>
  </r>
  <r>
    <x v="6108"/>
    <n v="26.059999000000001"/>
    <n v="26.48"/>
    <n v="25.73"/>
    <x v="2433"/>
    <n v="20.582675999999999"/>
    <n v="65718800"/>
  </r>
  <r>
    <x v="6109"/>
    <n v="26.549999"/>
    <n v="26.93"/>
    <n v="26.41"/>
    <x v="2540"/>
    <n v="20.893830999999999"/>
    <n v="67837000"/>
  </r>
  <r>
    <x v="6110"/>
    <n v="26.1"/>
    <n v="26.57"/>
    <n v="25.620000999999998"/>
    <x v="2614"/>
    <n v="20.061508"/>
    <n v="89832200"/>
  </r>
  <r>
    <x v="6111"/>
    <n v="25.82"/>
    <n v="25.83"/>
    <n v="25.24"/>
    <x v="2465"/>
    <n v="19.672564000000001"/>
    <n v="80456200"/>
  </r>
  <r>
    <x v="6112"/>
    <n v="25.25"/>
    <n v="25.26"/>
    <n v="24.65"/>
    <x v="2699"/>
    <n v="19.532544999999999"/>
    <n v="87355000"/>
  </r>
  <r>
    <x v="6113"/>
    <n v="25.219999000000001"/>
    <n v="25.52"/>
    <n v="24.75"/>
    <x v="2618"/>
    <n v="19.283629999999999"/>
    <n v="87794000"/>
  </r>
  <r>
    <x v="6114"/>
    <n v="25.129999000000002"/>
    <n v="25.15"/>
    <n v="24.780000999999999"/>
    <x v="2458"/>
    <n v="19.44698"/>
    <n v="78930900"/>
  </r>
  <r>
    <x v="6115"/>
    <n v="25.040001"/>
    <n v="25.719999000000001"/>
    <n v="24.77"/>
    <x v="2654"/>
    <n v="19.960379"/>
    <n v="68057700"/>
  </r>
  <r>
    <x v="6116"/>
    <n v="25.860001"/>
    <n v="25.959999"/>
    <n v="25.469999000000001"/>
    <x v="2553"/>
    <n v="19.835920000000002"/>
    <n v="50972400"/>
  </r>
  <r>
    <x v="6117"/>
    <n v="25.75"/>
    <n v="26.65"/>
    <n v="25.74"/>
    <x v="2869"/>
    <n v="20.676029"/>
    <n v="81641500"/>
  </r>
  <r>
    <x v="6118"/>
    <n v="26.469999000000001"/>
    <n v="26.58"/>
    <n v="26.23"/>
    <x v="2407"/>
    <n v="20.473777999999999"/>
    <n v="48698000"/>
  </r>
  <r>
    <x v="6119"/>
    <n v="26.559999000000001"/>
    <n v="26.67"/>
    <n v="26.040001"/>
    <x v="2610"/>
    <n v="20.512682000000002"/>
    <n v="47995500"/>
  </r>
  <r>
    <x v="6120"/>
    <n v="26.370000999999998"/>
    <n v="26.530000999999999"/>
    <n v="26.17"/>
    <x v="2861"/>
    <n v="20.567131"/>
    <n v="52075600"/>
  </r>
  <r>
    <x v="6121"/>
    <n v="26.780000999999999"/>
    <n v="26.889999"/>
    <n v="25.889999"/>
    <x v="2412"/>
    <n v="20.185964999999999"/>
    <n v="54625300"/>
  </r>
  <r>
    <x v="6122"/>
    <n v="26.16"/>
    <n v="26.450001"/>
    <n v="25.76"/>
    <x v="3293"/>
    <n v="20.045947999999999"/>
    <n v="55985400"/>
  </r>
  <r>
    <x v="6123"/>
    <n v="25.780000999999999"/>
    <n v="25.780000999999999"/>
    <n v="25.219999000000001"/>
    <x v="2745"/>
    <n v="19.688122"/>
    <n v="61466200"/>
  </r>
  <r>
    <x v="6124"/>
    <n v="25.459999"/>
    <n v="25.719999000000001"/>
    <n v="24.93"/>
    <x v="2458"/>
    <n v="19.44698"/>
    <n v="85243400"/>
  </r>
  <r>
    <x v="6125"/>
    <n v="25.049999"/>
    <n v="25.110001"/>
    <n v="24.309999000000001"/>
    <x v="2569"/>
    <n v="19.081375000000001"/>
    <n v="156256700"/>
  </r>
  <r>
    <x v="6126"/>
    <n v="24.51"/>
    <n v="24.610001"/>
    <n v="24.120000999999998"/>
    <x v="2391"/>
    <n v="18.910236000000001"/>
    <n v="73784800"/>
  </r>
  <r>
    <x v="6127"/>
    <n v="24.129999000000002"/>
    <n v="24.200001"/>
    <n v="23.110001"/>
    <x v="3325"/>
    <n v="18.132356999999999"/>
    <n v="119882100"/>
  </r>
  <r>
    <x v="6128"/>
    <n v="23.299999"/>
    <n v="23.68"/>
    <n v="22.950001"/>
    <x v="2896"/>
    <n v="17.899000000000001"/>
    <n v="81050500"/>
  </r>
  <r>
    <x v="6129"/>
    <n v="23.09"/>
    <n v="23.32"/>
    <n v="22.73"/>
    <x v="2920"/>
    <n v="18.015675000000002"/>
    <n v="92239400"/>
  </r>
  <r>
    <x v="6130"/>
    <n v="23.360001"/>
    <n v="23.48"/>
    <n v="23.049999"/>
    <x v="2580"/>
    <n v="18.101254999999998"/>
    <n v="62485100"/>
  </r>
  <r>
    <x v="6131"/>
    <n v="23.700001"/>
    <n v="24.09"/>
    <n v="23.58"/>
    <x v="3326"/>
    <n v="18.529083"/>
    <n v="73592000"/>
  </r>
  <r>
    <x v="6132"/>
    <n v="23.82"/>
    <n v="24.32"/>
    <n v="23.610001"/>
    <x v="2874"/>
    <n v="18.902462"/>
    <n v="79965300"/>
  </r>
  <r>
    <x v="6133"/>
    <n v="24.6"/>
    <n v="24.620000999999998"/>
    <n v="23.969999000000001"/>
    <x v="2556"/>
    <n v="18.988023999999999"/>
    <n v="50758100"/>
  </r>
  <r>
    <x v="6134"/>
    <n v="24.33"/>
    <n v="24.41"/>
    <n v="24.15"/>
    <x v="3327"/>
    <n v="18.879132999999999"/>
    <n v="53806100"/>
  </r>
  <r>
    <x v="6135"/>
    <n v="24.43"/>
    <n v="24.889999"/>
    <n v="24.42"/>
    <x v="3281"/>
    <n v="19.314747000000001"/>
    <n v="49854200"/>
  </r>
  <r>
    <x v="6136"/>
    <n v="25.139999"/>
    <n v="25.299999"/>
    <n v="24.9"/>
    <x v="2740"/>
    <n v="19.548100999999999"/>
    <n v="61928700"/>
  </r>
  <r>
    <x v="6137"/>
    <n v="25.5"/>
    <n v="25.610001"/>
    <n v="25.120000999999998"/>
    <x v="3121"/>
    <n v="19.789251"/>
    <n v="72808100"/>
  </r>
  <r>
    <x v="6138"/>
    <n v="25.5"/>
    <n v="25.59"/>
    <n v="24.98"/>
    <x v="2751"/>
    <n v="19.843699000000001"/>
    <n v="56934700"/>
  </r>
  <r>
    <x v="6139"/>
    <n v="25.51"/>
    <n v="25.639999"/>
    <n v="24.879999000000002"/>
    <x v="2741"/>
    <n v="19.361412000000001"/>
    <n v="65064800"/>
  </r>
  <r>
    <x v="6140"/>
    <n v="24.959999"/>
    <n v="25.299999"/>
    <n v="24.91"/>
    <x v="2835"/>
    <n v="19.625885"/>
    <n v="38181800"/>
  </r>
  <r>
    <x v="6141"/>
    <n v="24.860001"/>
    <n v="25.48"/>
    <n v="24.700001"/>
    <x v="2750"/>
    <n v="19.820361999999999"/>
    <n v="45530700"/>
  </r>
  <r>
    <x v="6142"/>
    <n v="25.6"/>
    <n v="25.65"/>
    <n v="24.98"/>
    <x v="3328"/>
    <n v="19.540320999999999"/>
    <n v="73297300"/>
  </r>
  <r>
    <x v="6143"/>
    <n v="25.51"/>
    <n v="25.99"/>
    <n v="25.469999000000001"/>
    <x v="2702"/>
    <n v="20.100398999999999"/>
    <n v="73016400"/>
  </r>
  <r>
    <x v="6144"/>
    <n v="25.84"/>
    <n v="26.02"/>
    <n v="25.25"/>
    <x v="2856"/>
    <n v="20.077061"/>
    <n v="108520100"/>
  </r>
  <r>
    <x v="6145"/>
    <n v="25.860001"/>
    <n v="26.200001"/>
    <n v="25.799999"/>
    <x v="2608"/>
    <n v="20.302643"/>
    <n v="67249900"/>
  </r>
  <r>
    <x v="6146"/>
    <n v="26.139999"/>
    <n v="26.24"/>
    <n v="25.959999"/>
    <x v="2405"/>
    <n v="20.349316000000002"/>
    <n v="60672100"/>
  </r>
  <r>
    <x v="6147"/>
    <n v="26.07"/>
    <n v="26.190000999999999"/>
    <n v="25.83"/>
    <x v="2412"/>
    <n v="20.185964999999999"/>
    <n v="69704800"/>
  </r>
  <r>
    <x v="6148"/>
    <n v="26.129999000000002"/>
    <n v="26.41"/>
    <n v="25.6"/>
    <x v="3120"/>
    <n v="20.248194000000002"/>
    <n v="69446200"/>
  </r>
  <r>
    <x v="6149"/>
    <n v="25.75"/>
    <n v="25.84"/>
    <n v="25.35"/>
    <x v="2856"/>
    <n v="20.077061"/>
    <n v="83534800"/>
  </r>
  <r>
    <x v="6150"/>
    <n v="25.99"/>
    <n v="26.379999000000002"/>
    <n v="25.75"/>
    <x v="2429"/>
    <n v="20.481560000000002"/>
    <n v="55044600"/>
  </r>
  <r>
    <x v="6151"/>
    <n v="26.200001"/>
    <n v="26.35"/>
    <n v="25.969999000000001"/>
    <x v="2405"/>
    <n v="20.349316000000002"/>
    <n v="56877700"/>
  </r>
  <r>
    <x v="6152"/>
    <n v="26.15"/>
    <n v="26.24"/>
    <n v="25.440000999999999"/>
    <x v="2551"/>
    <n v="20.014832999999999"/>
    <n v="78531900"/>
  </r>
  <r>
    <x v="6153"/>
    <n v="25.49"/>
    <n v="25.58"/>
    <n v="25.209999"/>
    <x v="2737"/>
    <n v="19.734791000000001"/>
    <n v="64922100"/>
  </r>
  <r>
    <x v="6154"/>
    <n v="25.18"/>
    <n v="25.559999000000001"/>
    <n v="25.02"/>
    <x v="2860"/>
    <n v="19.874804999999999"/>
    <n v="55982100"/>
  </r>
  <r>
    <x v="6155"/>
    <n v="25.549999"/>
    <n v="25.73"/>
    <n v="25.370000999999998"/>
    <x v="2656"/>
    <n v="19.921486000000002"/>
    <n v="57096500"/>
  </r>
  <r>
    <x v="6156"/>
    <n v="25.33"/>
    <n v="25.34"/>
    <n v="24.879999000000002"/>
    <x v="2857"/>
    <n v="19.501431"/>
    <n v="87257700"/>
  </r>
  <r>
    <x v="6157"/>
    <n v="24.68"/>
    <n v="24.9"/>
    <n v="24.559999000000001"/>
    <x v="2586"/>
    <n v="19.338077999999999"/>
    <n v="76746900"/>
  </r>
  <r>
    <x v="6158"/>
    <n v="24.42"/>
    <n v="24.68"/>
    <n v="24.360001"/>
    <x v="3329"/>
    <n v="19.050260999999999"/>
    <n v="70240500"/>
  </r>
  <r>
    <x v="6159"/>
    <n v="24.35"/>
    <n v="24.67"/>
    <n v="24.24"/>
    <x v="2619"/>
    <n v="18.980253000000001"/>
    <n v="45263500"/>
  </r>
  <r>
    <x v="6160"/>
    <n v="24.360001"/>
    <n v="24.610001"/>
    <n v="24.299999"/>
    <x v="2742"/>
    <n v="19.058036999999999"/>
    <n v="40909700"/>
  </r>
  <r>
    <x v="6161"/>
    <n v="24.709999"/>
    <n v="24.959999"/>
    <n v="24.6"/>
    <x v="2409"/>
    <n v="19.323923000000001"/>
    <n v="52912600"/>
  </r>
  <r>
    <x v="6162"/>
    <n v="24.68"/>
    <n v="24.950001"/>
    <n v="24.41"/>
    <x v="3292"/>
    <n v="19.409952000000001"/>
    <n v="46818900"/>
  </r>
  <r>
    <x v="6163"/>
    <n v="24.620000999999998"/>
    <n v="24.74"/>
    <n v="24.209999"/>
    <x v="2936"/>
    <n v="19.112777999999999"/>
    <n v="54064600"/>
  </r>
  <r>
    <x v="6164"/>
    <n v="24.309999000000001"/>
    <n v="24.4"/>
    <n v="24.200001"/>
    <x v="2843"/>
    <n v="18.948557000000001"/>
    <n v="49560100"/>
  </r>
  <r>
    <x v="6165"/>
    <n v="24.440000999999999"/>
    <n v="24.639999"/>
    <n v="24.24"/>
    <x v="2559"/>
    <n v="18.987658"/>
    <n v="51643000"/>
  </r>
  <r>
    <x v="6166"/>
    <n v="24.09"/>
    <n v="24.35"/>
    <n v="24"/>
    <x v="3274"/>
    <n v="18.799973999999999"/>
    <n v="66522500"/>
  </r>
  <r>
    <x v="6167"/>
    <n v="24"/>
    <n v="24.219999000000001"/>
    <n v="23.870000999999998"/>
    <x v="3127"/>
    <n v="18.846895"/>
    <n v="47404800"/>
  </r>
  <r>
    <x v="6168"/>
    <n v="24.09"/>
    <n v="24.190000999999999"/>
    <n v="23.790001"/>
    <x v="3326"/>
    <n v="18.627929999999999"/>
    <n v="49105300"/>
  </r>
  <r>
    <x v="6169"/>
    <n v="23.879999000000002"/>
    <n v="24.02"/>
    <n v="23.51"/>
    <x v="3129"/>
    <n v="18.713947000000001"/>
    <n v="60939400"/>
  </r>
  <r>
    <x v="6170"/>
    <n v="23.74"/>
    <n v="23.82"/>
    <n v="23.6"/>
    <x v="3330"/>
    <n v="18.487164"/>
    <n v="45453100"/>
  </r>
  <r>
    <x v="6171"/>
    <n v="23.6"/>
    <n v="23.73"/>
    <n v="23.32"/>
    <x v="2921"/>
    <n v="18.354209999999998"/>
    <n v="66074600"/>
  </r>
  <r>
    <x v="6172"/>
    <n v="23.67"/>
    <n v="23.950001"/>
    <n v="23.540001"/>
    <x v="3331"/>
    <n v="18.690491000000002"/>
    <n v="65235900"/>
  </r>
  <r>
    <x v="6173"/>
    <n v="23.879999000000002"/>
    <n v="23.950001"/>
    <n v="23.709999"/>
    <x v="3332"/>
    <n v="18.721771"/>
    <n v="48837100"/>
  </r>
  <r>
    <x v="6174"/>
    <n v="24.24"/>
    <n v="24.450001"/>
    <n v="24.200001"/>
    <x v="2473"/>
    <n v="18.995480000000001"/>
    <n v="64189100"/>
  </r>
  <r>
    <x v="6175"/>
    <n v="24.1"/>
    <n v="24.299999"/>
    <n v="23.92"/>
    <x v="3333"/>
    <n v="18.737413"/>
    <n v="51928700"/>
  </r>
  <r>
    <x v="6176"/>
    <n v="24.07"/>
    <n v="24.200001"/>
    <n v="23.74"/>
    <x v="3129"/>
    <n v="18.713947000000001"/>
    <n v="65512400"/>
  </r>
  <r>
    <x v="6177"/>
    <n v="24.190000999999999"/>
    <n v="24.209999"/>
    <n v="23.99"/>
    <x v="2890"/>
    <n v="18.776509999999998"/>
    <n v="46028900"/>
  </r>
  <r>
    <x v="6178"/>
    <n v="23.98"/>
    <n v="24.030000999999999"/>
    <n v="23.790001"/>
    <x v="3334"/>
    <n v="18.651385999999999"/>
    <n v="58284300"/>
  </r>
  <r>
    <x v="6179"/>
    <n v="24.200001"/>
    <n v="25.290001"/>
    <n v="24.09"/>
    <x v="2699"/>
    <n v="19.636742000000002"/>
    <n v="114680400"/>
  </r>
  <r>
    <x v="6180"/>
    <n v="25.040001"/>
    <n v="25.35"/>
    <n v="24.889999"/>
    <x v="2744"/>
    <n v="19.574180999999999"/>
    <n v="87160400"/>
  </r>
  <r>
    <x v="6181"/>
    <n v="25.1"/>
    <n v="25.219999000000001"/>
    <n v="24.92"/>
    <x v="3328"/>
    <n v="19.644563999999999"/>
    <n v="56201900"/>
  </r>
  <r>
    <x v="6182"/>
    <n v="25.059999000000001"/>
    <n v="25.370000999999998"/>
    <n v="25.049999"/>
    <x v="2753"/>
    <n v="19.808788"/>
    <n v="44548300"/>
  </r>
  <r>
    <x v="6183"/>
    <n v="25.4"/>
    <n v="25.530000999999999"/>
    <n v="25.08"/>
    <x v="2604"/>
    <n v="19.722763"/>
    <n v="70341600"/>
  </r>
  <r>
    <x v="6184"/>
    <n v="25.280000999999999"/>
    <n v="25.52"/>
    <n v="25.110001"/>
    <x v="2838"/>
    <n v="19.886990000000001"/>
    <n v="49838700"/>
  </r>
  <r>
    <x v="6185"/>
    <n v="25.42"/>
    <n v="25.42"/>
    <n v="25.08"/>
    <x v="2696"/>
    <n v="19.668022000000001"/>
    <n v="52675700"/>
  </r>
  <r>
    <x v="6186"/>
    <n v="24.889999"/>
    <n v="24.969999000000001"/>
    <n v="24.360001"/>
    <x v="2620"/>
    <n v="19.245728"/>
    <n v="94299400"/>
  </r>
  <r>
    <x v="6187"/>
    <n v="24.51"/>
    <n v="24.59"/>
    <n v="24.360001"/>
    <x v="2937"/>
    <n v="19.104959000000001"/>
    <n v="46201800"/>
  </r>
  <r>
    <x v="6188"/>
    <n v="24.639999"/>
    <n v="24.799999"/>
    <n v="24.58"/>
    <x v="2390"/>
    <n v="19.378664000000001"/>
    <n v="51948800"/>
  </r>
  <r>
    <x v="6189"/>
    <n v="24.85"/>
    <n v="24.99"/>
    <n v="24.59"/>
    <x v="2873"/>
    <n v="19.339562999999998"/>
    <n v="43603300"/>
  </r>
  <r>
    <x v="6190"/>
    <n v="24.799999"/>
    <n v="24.9"/>
    <n v="24.35"/>
    <x v="2627"/>
    <n v="19.300464999999999"/>
    <n v="56041200"/>
  </r>
  <r>
    <x v="6191"/>
    <n v="24.629999000000002"/>
    <n v="24.66"/>
    <n v="24.4"/>
    <x v="2742"/>
    <n v="19.159697000000001"/>
    <n v="44318900"/>
  </r>
  <r>
    <x v="6192"/>
    <n v="24.610001"/>
    <n v="24.83"/>
    <n v="24.360001"/>
    <x v="3329"/>
    <n v="19.151883999999999"/>
    <n v="61262700"/>
  </r>
  <r>
    <x v="6193"/>
    <n v="24.77"/>
    <n v="24.82"/>
    <n v="24.299999"/>
    <x v="3335"/>
    <n v="19.065857000000001"/>
    <n v="62672300"/>
  </r>
  <r>
    <x v="6194"/>
    <n v="23.959999"/>
    <n v="23.99"/>
    <n v="23.780000999999999"/>
    <x v="2470"/>
    <n v="18.698307"/>
    <n v="98143400"/>
  </r>
  <r>
    <x v="6195"/>
    <n v="24.059999000000001"/>
    <n v="24.450001"/>
    <n v="23.91"/>
    <x v="2471"/>
    <n v="19.042397999999999"/>
    <n v="78152900"/>
  </r>
  <r>
    <x v="6196"/>
    <n v="24.32"/>
    <n v="24.540001"/>
    <n v="24.129999000000002"/>
    <x v="2937"/>
    <n v="19.104959000000001"/>
    <n v="50489700"/>
  </r>
  <r>
    <x v="6197"/>
    <n v="24.620000999999998"/>
    <n v="24.75"/>
    <n v="24.280000999999999"/>
    <x v="2569"/>
    <n v="19.183160999999998"/>
    <n v="50096100"/>
  </r>
  <r>
    <x v="6198"/>
    <n v="24.620000999999998"/>
    <n v="24.65"/>
    <n v="24.370000999999998"/>
    <x v="2596"/>
    <n v="19.214445000000001"/>
    <n v="41327800"/>
  </r>
  <r>
    <x v="6199"/>
    <n v="24.74"/>
    <n v="24.74"/>
    <n v="24.5"/>
    <x v="2597"/>
    <n v="19.230083"/>
    <n v="27587800"/>
  </r>
  <r>
    <x v="6200"/>
    <n v="24.65"/>
    <n v="24.93"/>
    <n v="24.43"/>
    <x v="3281"/>
    <n v="19.417777999999998"/>
    <n v="50141500"/>
  </r>
  <r>
    <x v="6201"/>
    <n v="25.02"/>
    <n v="25.540001"/>
    <n v="24.889999"/>
    <x v="2871"/>
    <n v="19.816607999999999"/>
    <n v="75336500"/>
  </r>
  <r>
    <x v="6202"/>
    <n v="25.290001"/>
    <n v="25.34"/>
    <n v="25"/>
    <x v="2835"/>
    <n v="19.730585000000001"/>
    <n v="51949100"/>
  </r>
  <r>
    <x v="6203"/>
    <n v="25.360001"/>
    <n v="25.549999"/>
    <n v="25.23"/>
    <x v="2658"/>
    <n v="19.973013000000002"/>
    <n v="68954800"/>
  </r>
  <r>
    <x v="6204"/>
    <n v="25.59"/>
    <n v="25.950001"/>
    <n v="25.450001"/>
    <x v="3336"/>
    <n v="20.191980000000001"/>
    <n v="48330500"/>
  </r>
  <r>
    <x v="6205"/>
    <n v="25.27"/>
    <n v="25.370000999999998"/>
    <n v="24.950001"/>
    <x v="2698"/>
    <n v="19.628917999999999"/>
    <n v="66150900"/>
  </r>
  <r>
    <x v="6206"/>
    <n v="25.26"/>
    <n v="25.4"/>
    <n v="25.1"/>
    <x v="2745"/>
    <n v="19.793142"/>
    <n v="56283600"/>
  </r>
  <r>
    <x v="6207"/>
    <n v="25.4"/>
    <n v="25.540001"/>
    <n v="25.049999"/>
    <x v="2463"/>
    <n v="19.879166000000001"/>
    <n v="50032400"/>
  </r>
  <r>
    <x v="6208"/>
    <n v="25.52"/>
    <n v="25.540001"/>
    <n v="25.27"/>
    <x v="2243"/>
    <n v="19.847887"/>
    <n v="25837900"/>
  </r>
  <r>
    <x v="6209"/>
    <n v="25.24"/>
    <n v="25.35"/>
    <n v="25.17"/>
    <x v="2743"/>
    <n v="19.699304999999999"/>
    <n v="50912400"/>
  </r>
  <r>
    <x v="6210"/>
    <n v="25.120000999999998"/>
    <n v="25.969999000000001"/>
    <n v="25.059999000000001"/>
    <x v="2436"/>
    <n v="20.254545"/>
    <n v="69304200"/>
  </r>
  <r>
    <x v="6211"/>
    <n v="25.790001"/>
    <n v="26.110001"/>
    <n v="25.620000999999998"/>
    <x v="2462"/>
    <n v="20.371845"/>
    <n v="64805500"/>
  </r>
  <r>
    <x v="6212"/>
    <n v="26.209999"/>
    <n v="26.379999000000002"/>
    <n v="25.92"/>
    <x v="2833"/>
    <n v="20.551711999999998"/>
    <n v="80730300"/>
  </r>
  <r>
    <x v="6213"/>
    <n v="27.15"/>
    <n v="27.200001"/>
    <n v="26.48"/>
    <x v="2827"/>
    <n v="20.85671"/>
    <n v="114193200"/>
  </r>
  <r>
    <x v="6214"/>
    <n v="26.879999000000002"/>
    <n v="27.219999000000001"/>
    <n v="26.700001"/>
    <x v="2730"/>
    <n v="21.075673999999999"/>
    <n v="61912100"/>
  </r>
  <r>
    <x v="6215"/>
    <n v="27.059999000000001"/>
    <n v="27.42"/>
    <n v="27.02"/>
    <x v="2792"/>
    <n v="21.419765000000002"/>
    <n v="54402100"/>
  </r>
  <r>
    <x v="6216"/>
    <n v="27.459999"/>
    <n v="27.49"/>
    <n v="26.959999"/>
    <x v="2867"/>
    <n v="21.138241000000001"/>
    <n v="110255300"/>
  </r>
  <r>
    <x v="6217"/>
    <n v="27.41"/>
    <n v="27.43"/>
    <n v="27.01"/>
    <x v="2788"/>
    <n v="21.224264000000002"/>
    <n v="93599300"/>
  </r>
  <r>
    <x v="6218"/>
    <n v="27.17"/>
    <n v="27.190000999999999"/>
    <n v="26.530000999999999"/>
    <x v="2822"/>
    <n v="20.997478000000001"/>
    <n v="110953700"/>
  </r>
  <r>
    <x v="6219"/>
    <n v="26.68"/>
    <n v="28.870000999999998"/>
    <n v="26.58"/>
    <x v="2819"/>
    <n v="20.966190000000001"/>
    <n v="71670800"/>
  </r>
  <r>
    <x v="6220"/>
    <n v="26.809999000000001"/>
    <n v="27.110001"/>
    <n v="26.709999"/>
    <x v="2730"/>
    <n v="21.075673999999999"/>
    <n v="58538600"/>
  </r>
  <r>
    <x v="6221"/>
    <n v="27.01"/>
    <n v="27.08"/>
    <n v="26.809999000000001"/>
    <x v="2886"/>
    <n v="21.067854000000001"/>
    <n v="52277300"/>
  </r>
  <r>
    <x v="6222"/>
    <n v="26.68"/>
    <n v="26.719999000000001"/>
    <n v="26.280000999999999"/>
    <x v="2693"/>
    <n v="20.864526999999999"/>
    <n v="62073100"/>
  </r>
  <r>
    <x v="6223"/>
    <n v="26.469999000000001"/>
    <n v="26.52"/>
    <n v="26.1"/>
    <x v="2830"/>
    <n v="20.543892"/>
    <n v="64962200"/>
  </r>
  <r>
    <x v="6224"/>
    <n v="26.33"/>
    <n v="26.5"/>
    <n v="26.17"/>
    <x v="2612"/>
    <n v="20.489149000000001"/>
    <n v="51794600"/>
  </r>
  <r>
    <x v="6225"/>
    <n v="26.040001"/>
    <n v="26.040001"/>
    <n v="25.65"/>
    <x v="2856"/>
    <n v="20.308181999999999"/>
    <n v="65339200"/>
  </r>
  <r>
    <x v="6226"/>
    <n v="25.9"/>
    <n v="25.91"/>
    <n v="25.549999"/>
    <x v="2607"/>
    <n v="20.119339"/>
    <n v="58299700"/>
  </r>
  <r>
    <x v="6227"/>
    <n v="25.709999"/>
    <n v="26.08"/>
    <n v="25.610001"/>
    <x v="2702"/>
    <n v="20.331785"/>
    <n v="59514000"/>
  </r>
  <r>
    <x v="6228"/>
    <n v="25.799999"/>
    <n v="25.83"/>
    <n v="25.6"/>
    <x v="2695"/>
    <n v="20.213760000000001"/>
    <n v="52423200"/>
  </r>
  <r>
    <x v="6229"/>
    <n v="25.65"/>
    <n v="25.74"/>
    <n v="25.440000999999999"/>
    <x v="2551"/>
    <n v="20.245228000000001"/>
    <n v="53350500"/>
  </r>
  <r>
    <x v="6230"/>
    <n v="25.57"/>
    <n v="25.6"/>
    <n v="25.09"/>
    <x v="3328"/>
    <n v="19.765267999999999"/>
    <n v="69742500"/>
  </r>
  <r>
    <x v="6231"/>
    <n v="25.200001"/>
    <n v="25.459999"/>
    <n v="25.16"/>
    <x v="2737"/>
    <n v="19.961969"/>
    <n v="56825900"/>
  </r>
  <r>
    <x v="6232"/>
    <n v="25.209999"/>
    <n v="25.41"/>
    <n v="25.17"/>
    <x v="2590"/>
    <n v="19.867556"/>
    <n v="21356500"/>
  </r>
  <r>
    <x v="6233"/>
    <n v="25.190000999999999"/>
    <n v="25.42"/>
    <n v="24.93"/>
    <x v="2745"/>
    <n v="19.914762"/>
    <n v="56603600"/>
  </r>
  <r>
    <x v="6234"/>
    <n v="25.049999"/>
    <n v="25.469999000000001"/>
    <n v="25"/>
    <x v="2634"/>
    <n v="19.875419999999998"/>
    <n v="75282100"/>
  </r>
  <r>
    <x v="6235"/>
    <n v="25.57"/>
    <n v="26.25"/>
    <n v="25.559999000000001"/>
    <x v="2587"/>
    <n v="20.489149000000001"/>
    <n v="74123500"/>
  </r>
  <r>
    <x v="6236"/>
    <n v="26.24"/>
    <n v="26.98"/>
    <n v="26.200001"/>
    <x v="2646"/>
    <n v="21.157962999999999"/>
    <n v="91759200"/>
  </r>
  <r>
    <x v="6237"/>
    <n v="26.809999000000001"/>
    <n v="27.059999000000001"/>
    <n v="26.780000999999999"/>
    <x v="2729"/>
    <n v="21.260248000000001"/>
    <n v="52622000"/>
  </r>
  <r>
    <x v="6238"/>
    <n v="26.93"/>
    <n v="26.98"/>
    <n v="26.76"/>
    <x v="2825"/>
    <n v="21.118618000000001"/>
    <n v="36264200"/>
  </r>
  <r>
    <x v="6239"/>
    <n v="27.08"/>
    <n v="27.129999000000002"/>
    <n v="26.85"/>
    <x v="2866"/>
    <n v="21.142223000000001"/>
    <n v="57860500"/>
  </r>
  <r>
    <x v="6240"/>
    <n v="26.83"/>
    <n v="27.24"/>
    <n v="26.799999"/>
    <x v="2820"/>
    <n v="21.425481999999999"/>
    <n v="41666800"/>
  </r>
  <r>
    <x v="6241"/>
    <n v="27.280000999999999"/>
    <n v="27.34"/>
    <n v="27.01"/>
    <x v="2424"/>
    <n v="21.307465000000001"/>
    <n v="47148300"/>
  </r>
  <r>
    <x v="6242"/>
    <n v="27.190000999999999"/>
    <n v="27.4"/>
    <n v="27.110001"/>
    <x v="3123"/>
    <n v="21.512032999999999"/>
    <n v="37625800"/>
  </r>
  <r>
    <x v="6243"/>
    <n v="27.27"/>
    <n v="27.450001"/>
    <n v="27.17"/>
    <x v="2795"/>
    <n v="21.441217000000002"/>
    <n v="47943900"/>
  </r>
  <r>
    <x v="6244"/>
    <n v="27.309999000000001"/>
    <n v="27.75"/>
    <n v="27.26"/>
    <x v="2793"/>
    <n v="21.732344000000001"/>
    <n v="64070500"/>
  </r>
  <r>
    <x v="6245"/>
    <n v="27.530000999999999"/>
    <n v="27.99"/>
    <n v="27.530000999999999"/>
    <x v="2878"/>
    <n v="21.913323999999999"/>
    <n v="69634200"/>
  </r>
  <r>
    <x v="6246"/>
    <n v="27.76"/>
    <n v="27.99"/>
    <n v="27.66"/>
    <x v="2802"/>
    <n v="22.023478999999998"/>
    <n v="57680200"/>
  </r>
  <r>
    <x v="6247"/>
    <n v="27.92"/>
    <n v="28.09"/>
    <n v="27.75"/>
    <x v="2543"/>
    <n v="21.952667000000002"/>
    <n v="87456500"/>
  </r>
  <r>
    <x v="6248"/>
    <n v="27.950001"/>
    <n v="27.99"/>
    <n v="27.68"/>
    <x v="2718"/>
    <n v="21.881847"/>
    <n v="52811000"/>
  </r>
  <r>
    <x v="6249"/>
    <n v="27.85"/>
    <n v="28.139999"/>
    <n v="27.76"/>
    <x v="2785"/>
    <n v="22.08642"/>
    <n v="38153000"/>
  </r>
  <r>
    <x v="6250"/>
    <n v="28.01"/>
    <n v="28.4"/>
    <n v="27.98"/>
    <x v="2259"/>
    <n v="22.180847"/>
    <n v="42252300"/>
  </r>
  <r>
    <x v="6251"/>
    <n v="27.969999000000001"/>
    <n v="28.32"/>
    <n v="27.959999"/>
    <x v="2664"/>
    <n v="22.267392999999998"/>
    <n v="24902500"/>
  </r>
  <r>
    <x v="6252"/>
    <n v="28.120000999999998"/>
    <n v="28.200001"/>
    <n v="27.879999000000002"/>
    <x v="2785"/>
    <n v="22.08642"/>
    <n v="21652800"/>
  </r>
  <r>
    <x v="6253"/>
    <n v="27.969999000000001"/>
    <n v="28.17"/>
    <n v="27.959999"/>
    <x v="2237"/>
    <n v="22.039218999999999"/>
    <n v="23042200"/>
  </r>
  <r>
    <x v="6254"/>
    <n v="27.940000999999999"/>
    <n v="28.120000999999998"/>
    <n v="27.879999000000002"/>
    <x v="2808"/>
    <n v="22.007738"/>
    <n v="19502500"/>
  </r>
  <r>
    <x v="6255"/>
    <n v="27.92"/>
    <n v="28"/>
    <n v="27.780000999999999"/>
    <x v="2878"/>
    <n v="21.913323999999999"/>
    <n v="20786100"/>
  </r>
  <r>
    <x v="6256"/>
    <n v="27.799999"/>
    <n v="27.92"/>
    <n v="27.629999000000002"/>
    <x v="2723"/>
    <n v="21.960526999999999"/>
    <n v="24752000"/>
  </r>
  <r>
    <x v="6257"/>
    <n v="28.049999"/>
    <n v="28.18"/>
    <n v="27.92"/>
    <x v="3337"/>
    <n v="22.015608"/>
    <n v="53443800"/>
  </r>
  <r>
    <x v="6258"/>
    <n v="27.940000999999999"/>
    <n v="28.17"/>
    <n v="27.85"/>
    <x v="2987"/>
    <n v="22.102157999999999"/>
    <n v="54405600"/>
  </r>
  <r>
    <x v="6259"/>
    <n v="27.9"/>
    <n v="28.01"/>
    <n v="27.77"/>
    <x v="2884"/>
    <n v="22.031345000000002"/>
    <n v="58998700"/>
  </r>
  <r>
    <x v="6260"/>
    <n v="28.040001"/>
    <n v="28.85"/>
    <n v="27.860001"/>
    <x v="2682"/>
    <n v="22.676556000000001"/>
    <n v="88026300"/>
  </r>
  <r>
    <x v="6261"/>
    <n v="28.639999"/>
    <n v="28.74"/>
    <n v="28.25"/>
    <x v="2381"/>
    <n v="22.503444999999999"/>
    <n v="73762000"/>
  </r>
  <r>
    <x v="6262"/>
    <n v="28.26"/>
    <n v="28.4"/>
    <n v="28.040001"/>
    <x v="2253"/>
    <n v="22.204443000000001"/>
    <n v="57573600"/>
  </r>
  <r>
    <x v="6263"/>
    <n v="28.200001"/>
    <n v="28.25"/>
    <n v="28.049999"/>
    <x v="2992"/>
    <n v="22.117901"/>
    <n v="50298900"/>
  </r>
  <r>
    <x v="6264"/>
    <n v="28.120000999999998"/>
    <n v="28.59"/>
    <n v="28.07"/>
    <x v="2990"/>
    <n v="22.464099999999998"/>
    <n v="52631100"/>
  </r>
  <r>
    <x v="6265"/>
    <n v="28.33"/>
    <n v="28.389999"/>
    <n v="28.01"/>
    <x v="2259"/>
    <n v="22.180847"/>
    <n v="67077600"/>
  </r>
  <r>
    <x v="6266"/>
    <n v="28.08"/>
    <n v="28.379999000000002"/>
    <n v="27.91"/>
    <x v="2664"/>
    <n v="22.267392999999998"/>
    <n v="62688400"/>
  </r>
  <r>
    <x v="6267"/>
    <n v="28.16"/>
    <n v="28.74"/>
    <n v="28.139999"/>
    <x v="2781"/>
    <n v="22.550659"/>
    <n v="53322700"/>
  </r>
  <r>
    <x v="6268"/>
    <n v="28.459999"/>
    <n v="28.68"/>
    <n v="28.27"/>
    <x v="2233"/>
    <n v="22.401157000000001"/>
    <n v="50005900"/>
  </r>
  <r>
    <x v="6269"/>
    <n v="28.5"/>
    <n v="28.549999"/>
    <n v="28.129999000000002"/>
    <x v="2763"/>
    <n v="22.306737999999999"/>
    <n v="58613600"/>
  </r>
  <r>
    <x v="6270"/>
    <n v="28.4"/>
    <n v="28.43"/>
    <n v="28.02"/>
    <x v="2770"/>
    <n v="22.047083000000001"/>
    <n v="58080300"/>
  </r>
  <r>
    <x v="6271"/>
    <n v="28.02"/>
    <n v="28.559999000000001"/>
    <n v="27.99"/>
    <x v="2666"/>
    <n v="22.330342999999999"/>
    <n v="52047800"/>
  </r>
  <r>
    <x v="6272"/>
    <n v="28.139999"/>
    <n v="28.450001"/>
    <n v="28.120000999999998"/>
    <x v="2522"/>
    <n v="22.385418000000001"/>
    <n v="42436600"/>
  </r>
  <r>
    <x v="6273"/>
    <n v="28.51"/>
    <n v="28.99"/>
    <n v="28.5"/>
    <x v="2685"/>
    <n v="22.645077000000001"/>
    <n v="74628800"/>
  </r>
  <r>
    <x v="6274"/>
    <n v="28.75"/>
    <n v="29.459999"/>
    <n v="28.49"/>
    <x v="2236"/>
    <n v="22.715889000000001"/>
    <n v="146938600"/>
  </r>
  <r>
    <x v="6275"/>
    <n v="28.9"/>
    <n v="28.93"/>
    <n v="27.450001"/>
    <x v="1627"/>
    <n v="21.834631000000002"/>
    <n v="141249400"/>
  </r>
  <r>
    <x v="6276"/>
    <n v="27.77"/>
    <n v="27.9"/>
    <n v="27.42"/>
    <x v="3118"/>
    <n v="21.818895000000001"/>
    <n v="65029000"/>
  </r>
  <r>
    <x v="6277"/>
    <n v="27.799999"/>
    <n v="28.059999000000001"/>
    <n v="27.610001"/>
    <x v="2802"/>
    <n v="22.023478999999998"/>
    <n v="62810700"/>
  </r>
  <r>
    <x v="6278"/>
    <n v="27.93"/>
    <n v="28.110001"/>
    <n v="27.879999000000002"/>
    <x v="2941"/>
    <n v="21.984134999999998"/>
    <n v="45824000"/>
  </r>
  <r>
    <x v="6279"/>
    <n v="27.969999000000001"/>
    <n v="27.969999000000001"/>
    <n v="27.540001"/>
    <x v="2724"/>
    <n v="21.755956999999999"/>
    <n v="60340100"/>
  </r>
  <r>
    <x v="6280"/>
    <n v="27.700001"/>
    <n v="27.84"/>
    <n v="27.51"/>
    <x v="2416"/>
    <n v="21.850373999999999"/>
    <n v="40412200"/>
  </r>
  <r>
    <x v="6281"/>
    <n v="27.799999"/>
    <n v="28.34"/>
    <n v="27.790001"/>
    <x v="3338"/>
    <n v="22.188714999999998"/>
    <n v="68980900"/>
  </r>
  <r>
    <x v="6282"/>
    <n v="28.1"/>
    <n v="28.34"/>
    <n v="28.049999"/>
    <x v="2767"/>
    <n v="22.251660999999999"/>
    <n v="34904200"/>
  </r>
  <r>
    <x v="6283"/>
    <n v="28.190000999999999"/>
    <n v="28.26"/>
    <n v="27.91"/>
    <x v="2808"/>
    <n v="22.007738"/>
    <n v="52905100"/>
  </r>
  <r>
    <x v="6284"/>
    <n v="27.93"/>
    <n v="27.940000999999999"/>
    <n v="27.290001"/>
    <x v="1691"/>
    <n v="21.637930000000001"/>
    <n v="76672400"/>
  </r>
  <r>
    <x v="6285"/>
    <n v="27.76"/>
    <n v="27.809999000000001"/>
    <n v="27.07"/>
    <x v="2795"/>
    <n v="21.441217000000002"/>
    <n v="83939700"/>
  </r>
  <r>
    <x v="6286"/>
    <n v="27.209999"/>
    <n v="27.27"/>
    <n v="26.950001"/>
    <x v="2820"/>
    <n v="21.425481999999999"/>
    <n v="56766200"/>
  </r>
  <r>
    <x v="6287"/>
    <n v="27.040001"/>
    <n v="27.33"/>
    <n v="26.950001"/>
    <x v="2727"/>
    <n v="21.338415000000001"/>
    <n v="44116500"/>
  </r>
  <r>
    <x v="6288"/>
    <n v="27.049999"/>
    <n v="27.07"/>
    <n v="26.6"/>
    <x v="2729"/>
    <n v="21.385909999999999"/>
    <n v="70817900"/>
  </r>
  <r>
    <x v="6289"/>
    <n v="26.969999000000001"/>
    <n v="27.370000999999998"/>
    <n v="26.91"/>
    <x v="2710"/>
    <n v="21.536293000000001"/>
    <n v="57207300"/>
  </r>
  <r>
    <x v="6290"/>
    <n v="27.129999000000002"/>
    <n v="27.209999"/>
    <n v="26.99"/>
    <x v="2706"/>
    <n v="21.417562"/>
    <n v="68667800"/>
  </r>
  <r>
    <x v="6291"/>
    <n v="26.780000999999999"/>
    <n v="27.1"/>
    <n v="26.52"/>
    <x v="2704"/>
    <n v="21.045572"/>
    <n v="60889000"/>
  </r>
  <r>
    <x v="6292"/>
    <n v="26.530000999999999"/>
    <n v="26.860001"/>
    <n v="26.43"/>
    <x v="2704"/>
    <n v="21.045572"/>
    <n v="60234100"/>
  </r>
  <r>
    <x v="6293"/>
    <n v="26.639999"/>
    <n v="27.059999000000001"/>
    <n v="26.5"/>
    <x v="2732"/>
    <n v="21.188037999999999"/>
    <n v="64494200"/>
  </r>
  <r>
    <x v="6294"/>
    <n v="26.91"/>
    <n v="26.950001"/>
    <n v="26.5"/>
    <x v="3339"/>
    <n v="21.013914"/>
    <n v="53006300"/>
  </r>
  <r>
    <x v="6295"/>
    <n v="26.690000999999999"/>
    <n v="26.860001"/>
    <n v="26.51"/>
    <x v="2869"/>
    <n v="21.037659000000001"/>
    <n v="51379900"/>
  </r>
  <r>
    <x v="6296"/>
    <n v="26.6"/>
    <n v="26.780000999999999"/>
    <n v="26.15"/>
    <x v="2405"/>
    <n v="20.705233"/>
    <n v="60055000"/>
  </r>
  <r>
    <x v="6297"/>
    <n v="26.110001"/>
    <n v="26.370000999999998"/>
    <n v="26.040001"/>
    <x v="3340"/>
    <n v="20.641912000000001"/>
    <n v="48658200"/>
  </r>
  <r>
    <x v="6298"/>
    <n v="26.26"/>
    <n v="26.4"/>
    <n v="26.18"/>
    <x v="2612"/>
    <n v="20.736899999999999"/>
    <n v="68271500"/>
  </r>
  <r>
    <x v="6299"/>
    <n v="26.219999000000001"/>
    <n v="26.24"/>
    <n v="25.799999"/>
    <x v="2412"/>
    <n v="20.539021000000002"/>
    <n v="70437200"/>
  </r>
  <r>
    <x v="6300"/>
    <n v="26.129999000000002"/>
    <n v="26.27"/>
    <n v="25.549999"/>
    <x v="2430"/>
    <n v="20.356978999999999"/>
    <n v="64980400"/>
  </r>
  <r>
    <x v="6301"/>
    <n v="25.77"/>
    <n v="26.02"/>
    <n v="25.65"/>
    <x v="2939"/>
    <n v="20.507362000000001"/>
    <n v="50549800"/>
  </r>
  <r>
    <x v="6302"/>
    <n v="25.809999000000001"/>
    <n v="25.98"/>
    <n v="25.66"/>
    <x v="2759"/>
    <n v="20.491529"/>
    <n v="39789100"/>
  </r>
  <r>
    <x v="6303"/>
    <n v="25.620000999999998"/>
    <n v="25.709999"/>
    <n v="25.35"/>
    <x v="3341"/>
    <n v="20.111628"/>
    <n v="66549500"/>
  </r>
  <r>
    <x v="6304"/>
    <n v="25.41"/>
    <n v="25.85"/>
    <n v="25.360001"/>
    <x v="2862"/>
    <n v="20.325319"/>
    <n v="49905800"/>
  </r>
  <r>
    <x v="6305"/>
    <n v="25.49"/>
    <n v="25.76"/>
    <n v="25.35"/>
    <x v="2695"/>
    <n v="20.333228999999999"/>
    <n v="54473400"/>
  </r>
  <r>
    <x v="6306"/>
    <n v="25.08"/>
    <n v="25.469999000000001"/>
    <n v="25"/>
    <x v="2629"/>
    <n v="20.095789"/>
    <n v="76067300"/>
  </r>
  <r>
    <x v="6307"/>
    <n v="25.219999000000001"/>
    <n v="25.280000999999999"/>
    <n v="24.68"/>
    <x v="2618"/>
    <n v="19.620901"/>
    <n v="100725400"/>
  </r>
  <r>
    <x v="6308"/>
    <n v="25.059999000000001"/>
    <n v="25.219999000000001"/>
    <n v="24.75"/>
    <x v="2390"/>
    <n v="19.61298"/>
    <n v="62497000"/>
  </r>
  <r>
    <x v="6309"/>
    <n v="25.059999000000001"/>
    <n v="25.18"/>
    <n v="24.799999"/>
    <x v="3282"/>
    <n v="19.628813000000001"/>
    <n v="85486700"/>
  </r>
  <r>
    <x v="6310"/>
    <n v="25.18"/>
    <n v="25.58"/>
    <n v="25.15"/>
    <x v="2753"/>
    <n v="20.048302"/>
    <n v="46878100"/>
  </r>
  <r>
    <x v="6311"/>
    <n v="25.299999"/>
    <n v="25.459999"/>
    <n v="25.23"/>
    <x v="2852"/>
    <n v="20.024560999999999"/>
    <n v="30895600"/>
  </r>
  <r>
    <x v="6312"/>
    <n v="25.23"/>
    <n v="25.610001"/>
    <n v="25.18"/>
    <x v="2658"/>
    <n v="20.214514000000001"/>
    <n v="43969000"/>
  </r>
  <r>
    <x v="6313"/>
    <n v="25.6"/>
    <n v="25.870000999999998"/>
    <n v="25.5"/>
    <x v="2856"/>
    <n v="20.428222999999999"/>
    <n v="38696700"/>
  </r>
  <r>
    <x v="6314"/>
    <n v="25.93"/>
    <n v="25.950001"/>
    <n v="25.59"/>
    <x v="2613"/>
    <n v="20.277832"/>
    <n v="57029800"/>
  </r>
  <r>
    <x v="6315"/>
    <n v="25.66"/>
    <n v="25.719999000000001"/>
    <n v="25.379999000000002"/>
    <x v="3341"/>
    <n v="20.111628"/>
    <n v="48973200"/>
  </r>
  <r>
    <x v="6316"/>
    <n v="25.34"/>
    <n v="25.52"/>
    <n v="25.299999"/>
    <x v="2589"/>
    <n v="20.174931999999998"/>
    <n v="40763500"/>
  </r>
  <r>
    <x v="6317"/>
    <n v="25.6"/>
    <n v="25.719999000000001"/>
    <n v="25.5"/>
    <x v="2656"/>
    <n v="20.269918000000001"/>
    <n v="41999300"/>
  </r>
  <r>
    <x v="6318"/>
    <n v="25.6"/>
    <n v="25.68"/>
    <n v="25.34"/>
    <x v="2629"/>
    <n v="20.095789"/>
    <n v="63233700"/>
  </r>
  <r>
    <x v="6319"/>
    <n v="25.530000999999999"/>
    <n v="25.530000999999999"/>
    <n v="25.309999000000001"/>
    <x v="2750"/>
    <n v="20.167020999999998"/>
    <n v="63114200"/>
  </r>
  <r>
    <x v="6320"/>
    <n v="25.450001"/>
    <n v="25.66"/>
    <n v="25.41"/>
    <x v="2860"/>
    <n v="20.222429000000002"/>
    <n v="35433700"/>
  </r>
  <r>
    <x v="6321"/>
    <n v="25.82"/>
    <n v="26.18"/>
    <n v="25.74"/>
    <x v="2632"/>
    <n v="20.404468999999999"/>
    <n v="73651100"/>
  </r>
  <r>
    <x v="6322"/>
    <n v="25.98"/>
    <n v="26.309999000000001"/>
    <n v="25.860001"/>
    <x v="2637"/>
    <n v="20.697320999999999"/>
    <n v="65581400"/>
  </r>
  <r>
    <x v="6323"/>
    <n v="26.190000999999999"/>
    <n v="26.26"/>
    <n v="25.969999000000001"/>
    <x v="2612"/>
    <n v="20.736899999999999"/>
    <n v="46134700"/>
  </r>
  <r>
    <x v="6324"/>
    <n v="26.17"/>
    <n v="26.280000999999999"/>
    <n v="25.959999"/>
    <x v="2631"/>
    <n v="20.633998999999999"/>
    <n v="39887600"/>
  </r>
  <r>
    <x v="6325"/>
    <n v="26.190000999999999"/>
    <n v="26.25"/>
    <n v="25.799999"/>
    <x v="2694"/>
    <n v="20.562759"/>
    <n v="34286300"/>
  </r>
  <r>
    <x v="6326"/>
    <n v="25.83"/>
    <n v="25.85"/>
    <n v="25.549999"/>
    <x v="2636"/>
    <n v="20.293661"/>
    <n v="36920400"/>
  </r>
  <r>
    <x v="6327"/>
    <n v="25.65"/>
    <n v="25.870000999999998"/>
    <n v="25.559999000000001"/>
    <x v="2635"/>
    <n v="20.285741999999999"/>
    <n v="38144700"/>
  </r>
  <r>
    <x v="6328"/>
    <n v="25.42"/>
    <n v="25.440000999999999"/>
    <n v="25.09"/>
    <x v="2463"/>
    <n v="20.119534999999999"/>
    <n v="55239900"/>
  </r>
  <r>
    <x v="6329"/>
    <n v="25.459999"/>
    <n v="25.559999000000001"/>
    <n v="25.18"/>
    <x v="2737"/>
    <n v="20.079961999999998"/>
    <n v="65080400"/>
  </r>
  <r>
    <x v="6330"/>
    <n v="25.1"/>
    <n v="25.280000999999999"/>
    <n v="24.719999000000001"/>
    <x v="2748"/>
    <n v="19.850425999999999"/>
    <n v="58045100"/>
  </r>
  <r>
    <x v="6331"/>
    <n v="25"/>
    <n v="25.17"/>
    <n v="24.870000999999998"/>
    <x v="2696"/>
    <n v="19.905828"/>
    <n v="38892400"/>
  </r>
  <r>
    <x v="6332"/>
    <n v="25.540001"/>
    <n v="26"/>
    <n v="25.51"/>
    <x v="2603"/>
    <n v="20.388645"/>
    <n v="61608600"/>
  </r>
  <r>
    <x v="6333"/>
    <n v="25.790001"/>
    <n v="25.889999"/>
    <n v="25.360001"/>
    <x v="2459"/>
    <n v="20.198678999999998"/>
    <n v="46892300"/>
  </r>
  <r>
    <x v="6334"/>
    <n v="25.559999000000001"/>
    <n v="25.620000999999998"/>
    <n v="25.34"/>
    <x v="2656"/>
    <n v="20.269918000000001"/>
    <n v="33525100"/>
  </r>
  <r>
    <x v="6335"/>
    <n v="25.74"/>
    <n v="26.440000999999999"/>
    <n v="25.67"/>
    <x v="2760"/>
    <n v="20.728981000000001"/>
    <n v="69200000"/>
  </r>
  <r>
    <x v="6336"/>
    <n v="26.299999"/>
    <n v="26.389999"/>
    <n v="26.129999000000002"/>
    <x v="2647"/>
    <n v="20.879356000000001"/>
    <n v="52689000"/>
  </r>
  <r>
    <x v="6337"/>
    <n v="26.459999"/>
    <n v="26.870000999999998"/>
    <n v="26.4"/>
    <x v="3294"/>
    <n v="21.140550999999999"/>
    <n v="80200000"/>
  </r>
  <r>
    <x v="6338"/>
    <n v="26.549999"/>
    <n v="26.639999"/>
    <n v="25.360001"/>
    <x v="2431"/>
    <n v="20.515276"/>
    <n v="319317900"/>
  </r>
  <r>
    <x v="6339"/>
    <n v="25.940000999999999"/>
    <n v="26"/>
    <n v="25.48"/>
    <x v="2654"/>
    <n v="20.309488000000002"/>
    <n v="89825600"/>
  </r>
  <r>
    <x v="6340"/>
    <n v="25.6"/>
    <n v="25.85"/>
    <n v="25.49"/>
    <x v="2856"/>
    <n v="20.428222999999999"/>
    <n v="71892900"/>
  </r>
  <r>
    <x v="6341"/>
    <n v="25.85"/>
    <n v="26.25"/>
    <n v="25.790001"/>
    <x v="2394"/>
    <n v="20.626085"/>
    <n v="73292300"/>
  </r>
  <r>
    <x v="6342"/>
    <n v="26.049999"/>
    <n v="26.08"/>
    <n v="25.68"/>
    <x v="2614"/>
    <n v="20.412386000000001"/>
    <n v="55600000"/>
  </r>
  <r>
    <x v="6343"/>
    <n v="26.07"/>
    <n v="26.219999000000001"/>
    <n v="25.75"/>
    <x v="3342"/>
    <n v="20.475701999999998"/>
    <n v="55993000"/>
  </r>
  <r>
    <x v="6344"/>
    <n v="25.799999"/>
    <n v="25.959999"/>
    <n v="25.67"/>
    <x v="2411"/>
    <n v="20.444037999999999"/>
    <n v="38696400"/>
  </r>
  <r>
    <x v="6345"/>
    <n v="25.379999000000002"/>
    <n v="25.85"/>
    <n v="25.25"/>
    <x v="2703"/>
    <n v="20.317402000000001"/>
    <n v="120798700"/>
  </r>
  <r>
    <x v="6346"/>
    <n v="25.65"/>
    <n v="25.66"/>
    <n v="25.209999"/>
    <x v="2853"/>
    <n v="20.072047999999999"/>
    <n v="78600000"/>
  </r>
  <r>
    <x v="6347"/>
    <n v="25.35"/>
    <n v="25.389999"/>
    <n v="25.1"/>
    <x v="2847"/>
    <n v="20.040393999999999"/>
    <n v="77400000"/>
  </r>
  <r>
    <x v="6348"/>
    <n v="25.280000999999999"/>
    <n v="25.32"/>
    <n v="24.950001"/>
    <x v="2744"/>
    <n v="19.810858"/>
    <n v="66812300"/>
  </r>
  <r>
    <x v="6349"/>
    <n v="24.959999"/>
    <n v="25.07"/>
    <n v="24.5"/>
    <x v="2596"/>
    <n v="19.446771999999999"/>
    <n v="91350900"/>
  </r>
  <r>
    <x v="6350"/>
    <n v="24.4"/>
    <n v="24.700001"/>
    <n v="24.27"/>
    <x v="3343"/>
    <n v="19.534407000000002"/>
    <n v="82882100"/>
  </r>
  <r>
    <x v="6351"/>
    <n v="24.530000999999999"/>
    <n v="24.74"/>
    <n v="24.25"/>
    <x v="2464"/>
    <n v="19.669844000000001"/>
    <n v="53931100"/>
  </r>
  <r>
    <x v="6352"/>
    <n v="24.85"/>
    <n v="24.879999000000002"/>
    <n v="24.5"/>
    <x v="3130"/>
    <n v="19.693743000000001"/>
    <n v="37783600"/>
  </r>
  <r>
    <x v="6353"/>
    <n v="24.719999000000001"/>
    <n v="24.870000999999998"/>
    <n v="24.440000999999999"/>
    <x v="3329"/>
    <n v="19.510505999999999"/>
    <n v="45451500"/>
  </r>
  <r>
    <x v="6354"/>
    <n v="24.209999"/>
    <n v="24.25"/>
    <n v="24.030000999999999"/>
    <x v="2842"/>
    <n v="19.255566000000002"/>
    <n v="52692500"/>
  </r>
  <r>
    <x v="6355"/>
    <n v="24.200001"/>
    <n v="24.290001"/>
    <n v="24.040001"/>
    <x v="2567"/>
    <n v="19.239636999999998"/>
    <n v="47691800"/>
  </r>
  <r>
    <x v="6356"/>
    <n v="24.17"/>
    <n v="24.309999000000001"/>
    <n v="24.16"/>
    <x v="2573"/>
    <n v="19.271507"/>
    <n v="34904200"/>
  </r>
  <r>
    <x v="6357"/>
    <n v="24.35"/>
    <n v="25.030000999999999"/>
    <n v="24.32"/>
    <x v="2585"/>
    <n v="19.653908000000001"/>
    <n v="78016600"/>
  </r>
  <r>
    <x v="6358"/>
    <n v="24.68"/>
    <n v="24.9"/>
    <n v="24.65"/>
    <x v="2599"/>
    <n v="19.725605000000002"/>
    <n v="50251000"/>
  </r>
  <r>
    <x v="6359"/>
    <n v="24.959999"/>
    <n v="25.059999000000001"/>
    <n v="24.700001"/>
    <x v="3124"/>
    <n v="19.924776000000001"/>
    <n v="60196300"/>
  </r>
  <r>
    <x v="6360"/>
    <n v="24.99"/>
    <n v="25.1"/>
    <n v="24.370000999999998"/>
    <x v="2937"/>
    <n v="19.462707999999999"/>
    <n v="74033500"/>
  </r>
  <r>
    <x v="6361"/>
    <n v="24.49"/>
    <n v="24.65"/>
    <n v="24.18"/>
    <x v="2617"/>
    <n v="19.295406"/>
    <n v="51487800"/>
  </r>
  <r>
    <x v="6362"/>
    <n v="24.049999"/>
    <n v="24.139999"/>
    <n v="23.84"/>
    <x v="2470"/>
    <n v="19.048438999999998"/>
    <n v="60697700"/>
  </r>
  <r>
    <x v="6363"/>
    <n v="23.889999"/>
    <n v="24.25"/>
    <n v="23.77"/>
    <x v="2890"/>
    <n v="19.128107"/>
    <n v="54778700"/>
  </r>
  <r>
    <x v="6364"/>
    <n v="24.09"/>
    <n v="24.17"/>
    <n v="23.9"/>
    <x v="2454"/>
    <n v="19.167936000000001"/>
    <n v="41112600"/>
  </r>
  <r>
    <x v="6365"/>
    <n v="23.9"/>
    <n v="24.02"/>
    <n v="23.860001"/>
    <x v="3332"/>
    <n v="19.072334000000001"/>
    <n v="42205000"/>
  </r>
  <r>
    <x v="6366"/>
    <n v="24.01"/>
    <n v="24.040001"/>
    <n v="23.82"/>
    <x v="3333"/>
    <n v="19.088266000000001"/>
    <n v="42878700"/>
  </r>
  <r>
    <x v="6367"/>
    <n v="24.02"/>
    <n v="24.02"/>
    <n v="23.690000999999999"/>
    <x v="2562"/>
    <n v="18.889105000000001"/>
    <n v="49327200"/>
  </r>
  <r>
    <x v="6368"/>
    <n v="23.790001"/>
    <n v="24.190000999999999"/>
    <n v="23.700001"/>
    <x v="3274"/>
    <n v="19.152000000000001"/>
    <n v="47572500"/>
  </r>
  <r>
    <x v="6369"/>
    <n v="24.299999"/>
    <n v="24.450001"/>
    <n v="24.190000999999999"/>
    <x v="2617"/>
    <n v="19.295406"/>
    <n v="42894500"/>
  </r>
  <r>
    <x v="6370"/>
    <n v="24"/>
    <n v="24.01"/>
    <n v="23.67"/>
    <x v="2903"/>
    <n v="18.913004000000001"/>
    <n v="49410200"/>
  </r>
  <r>
    <x v="6371"/>
    <n v="23.75"/>
    <n v="24.1"/>
    <n v="23.65"/>
    <x v="2932"/>
    <n v="19.120135999999999"/>
    <n v="57184100"/>
  </r>
  <r>
    <x v="6372"/>
    <n v="24.219999000000001"/>
    <n v="24.299999"/>
    <n v="23.98"/>
    <x v="3344"/>
    <n v="19.327272000000001"/>
    <n v="83320400"/>
  </r>
  <r>
    <x v="6373"/>
    <n v="24.17"/>
    <n v="24.66"/>
    <n v="24.16"/>
    <x v="2844"/>
    <n v="19.494574"/>
    <n v="54338400"/>
  </r>
  <r>
    <x v="6374"/>
    <n v="24.52"/>
    <n v="24.860001"/>
    <n v="24.4"/>
    <x v="2599"/>
    <n v="19.725605000000002"/>
    <n v="49708700"/>
  </r>
  <r>
    <x v="6375"/>
    <n v="24.6"/>
    <n v="24.809999000000001"/>
    <n v="24.59"/>
    <x v="2628"/>
    <n v="19.637969999999999"/>
    <n v="44287300"/>
  </r>
  <r>
    <x v="6376"/>
    <n v="24.440000999999999"/>
    <n v="24.65"/>
    <n v="24.200001"/>
    <x v="2571"/>
    <n v="19.622036000000001"/>
    <n v="59470400"/>
  </r>
  <r>
    <x v="6377"/>
    <n v="24.51"/>
    <n v="24.540001"/>
    <n v="24.190000999999999"/>
    <x v="2874"/>
    <n v="19.359137"/>
    <n v="101387200"/>
  </r>
  <r>
    <x v="6378"/>
    <n v="24.23"/>
    <n v="25.459999"/>
    <n v="24.23"/>
    <x v="2746"/>
    <n v="20.076141"/>
    <n v="92044200"/>
  </r>
  <r>
    <x v="6379"/>
    <n v="25.299999"/>
    <n v="25.92"/>
    <n v="25.16"/>
    <x v="2606"/>
    <n v="20.554145999999999"/>
    <n v="81032100"/>
  </r>
  <r>
    <x v="6380"/>
    <n v="25.709999"/>
    <n v="25.709999"/>
    <n v="25.360001"/>
    <x v="2613"/>
    <n v="20.410751000000001"/>
    <n v="66051000"/>
  </r>
  <r>
    <x v="6381"/>
    <n v="25.74"/>
    <n v="26"/>
    <n v="25.66"/>
    <x v="2438"/>
    <n v="20.713481999999999"/>
    <n v="52535400"/>
  </r>
  <r>
    <x v="6382"/>
    <n v="25.93"/>
    <n v="26.17"/>
    <n v="25.84"/>
    <x v="2831"/>
    <n v="20.729416000000001"/>
    <n v="52906200"/>
  </r>
  <r>
    <x v="6383"/>
    <n v="26.1"/>
    <n v="26.15"/>
    <n v="25.9"/>
    <x v="3120"/>
    <n v="20.737383000000001"/>
    <n v="37805300"/>
  </r>
  <r>
    <x v="6384"/>
    <n v="25.969999000000001"/>
    <n v="26.370000999999998"/>
    <n v="25.959999"/>
    <x v="2429"/>
    <n v="20.976381"/>
    <n v="48744200"/>
  </r>
  <r>
    <x v="6385"/>
    <n v="26.49"/>
    <n v="26.879999000000002"/>
    <n v="26.360001"/>
    <x v="2732"/>
    <n v="21.326917999999999"/>
    <n v="51946500"/>
  </r>
  <r>
    <x v="6386"/>
    <n v="26.540001"/>
    <n v="26.98"/>
    <n v="26.51"/>
    <x v="2880"/>
    <n v="21.446422999999999"/>
    <n v="58320700"/>
  </r>
  <r>
    <x v="6387"/>
    <n v="26.620000999999998"/>
    <n v="26.799999"/>
    <n v="26.49"/>
    <x v="2404"/>
    <n v="21.215388999999998"/>
    <n v="43999800"/>
  </r>
  <r>
    <x v="6388"/>
    <n v="26.549999"/>
    <n v="26.790001"/>
    <n v="26.34"/>
    <x v="2887"/>
    <n v="21.143689999999999"/>
    <n v="47319300"/>
  </r>
  <r>
    <x v="6389"/>
    <n v="26.6"/>
    <n v="26.959999"/>
    <n v="26.51"/>
    <x v="2404"/>
    <n v="21.215388999999998"/>
    <n v="40861800"/>
  </r>
  <r>
    <x v="6390"/>
    <n v="26.620000999999998"/>
    <n v="27.01"/>
    <n v="26.360001"/>
    <x v="2650"/>
    <n v="21.087917000000001"/>
    <n v="46382300"/>
  </r>
  <r>
    <x v="6391"/>
    <n v="26.469999000000001"/>
    <n v="26.93"/>
    <n v="26.469999000000001"/>
    <x v="2826"/>
    <n v="21.334886999999998"/>
    <n v="49132400"/>
  </r>
  <r>
    <x v="6392"/>
    <n v="26.629999000000002"/>
    <n v="26.9"/>
    <n v="26.26"/>
    <x v="2704"/>
    <n v="21.183516999999998"/>
    <n v="44501900"/>
  </r>
  <r>
    <x v="6393"/>
    <n v="26.809999000000001"/>
    <n v="27.639999"/>
    <n v="26.780000999999999"/>
    <x v="2717"/>
    <n v="21.940355"/>
    <n v="86730600"/>
  </r>
  <r>
    <x v="6394"/>
    <n v="27.280000999999999"/>
    <n v="27.35"/>
    <n v="26.98"/>
    <x v="2706"/>
    <n v="21.557946999999999"/>
    <n v="49795400"/>
  </r>
  <r>
    <x v="6395"/>
    <n v="27.040001"/>
    <n v="27.309999000000001"/>
    <n v="26.65"/>
    <x v="2889"/>
    <n v="21.589821000000001"/>
    <n v="81737400"/>
  </r>
  <r>
    <x v="6396"/>
    <n v="26.860001"/>
    <n v="27.549999"/>
    <n v="26.68"/>
    <x v="2787"/>
    <n v="21.932390000000002"/>
    <n v="76380600"/>
  </r>
  <r>
    <x v="6397"/>
    <n v="27.26"/>
    <n v="28.09"/>
    <n v="27.190000999999999"/>
    <x v="2723"/>
    <n v="22.235126000000001"/>
    <n v="108482400"/>
  </r>
  <r>
    <x v="6398"/>
    <n v="27.82"/>
    <n v="28.15"/>
    <n v="27.780000999999999"/>
    <x v="2809"/>
    <n v="22.370562"/>
    <n v="74636500"/>
  </r>
  <r>
    <x v="6399"/>
    <n v="27.879999000000002"/>
    <n v="27.99"/>
    <n v="27.200001"/>
    <x v="2531"/>
    <n v="21.773053999999998"/>
    <n v="71488700"/>
  </r>
  <r>
    <x v="6400"/>
    <n v="27.290001"/>
    <n v="28.07"/>
    <n v="27.209999"/>
    <x v="2789"/>
    <n v="22.083753999999999"/>
    <n v="83761400"/>
  </r>
  <r>
    <x v="6401"/>
    <n v="27.52"/>
    <n v="27.709999"/>
    <n v="27.26"/>
    <x v="2642"/>
    <n v="21.828818999999999"/>
    <n v="104394800"/>
  </r>
  <r>
    <x v="6402"/>
    <n v="27.51"/>
    <n v="27.690000999999999"/>
    <n v="26.75"/>
    <x v="2643"/>
    <n v="21.725254"/>
    <n v="61838400"/>
  </r>
  <r>
    <x v="6403"/>
    <n v="26.98"/>
    <n v="27.450001"/>
    <n v="26.76"/>
    <x v="2828"/>
    <n v="21.350821"/>
    <n v="63883100"/>
  </r>
  <r>
    <x v="6404"/>
    <n v="26.83"/>
    <n v="27"/>
    <n v="26.48"/>
    <x v="2880"/>
    <n v="21.446422999999999"/>
    <n v="64581200"/>
  </r>
  <r>
    <x v="6405"/>
    <n v="26.530000999999999"/>
    <n v="26.870000999999998"/>
    <n v="25.93"/>
    <x v="2758"/>
    <n v="20.665676000000001"/>
    <n v="92949500"/>
  </r>
  <r>
    <x v="6406"/>
    <n v="25.969999000000001"/>
    <n v="26.1"/>
    <n v="25.23"/>
    <x v="2862"/>
    <n v="20.458542000000001"/>
    <n v="112071700"/>
  </r>
  <r>
    <x v="6407"/>
    <n v="25.02"/>
    <n v="25.6"/>
    <n v="24.389999"/>
    <x v="3345"/>
    <n v="19.502538999999999"/>
    <n v="134257200"/>
  </r>
  <r>
    <x v="6408"/>
    <n v="24.709999"/>
    <n v="25.620000999999998"/>
    <n v="24.030000999999999"/>
    <x v="2595"/>
    <n v="20.378881"/>
    <n v="126268900"/>
  </r>
  <r>
    <x v="6409"/>
    <n v="24.950001"/>
    <n v="25.09"/>
    <n v="24.1"/>
    <x v="2598"/>
    <n v="19.279471999999998"/>
    <n v="127819900"/>
  </r>
  <r>
    <x v="6410"/>
    <n v="24.5"/>
    <n v="25.379999000000002"/>
    <n v="24.4"/>
    <x v="2743"/>
    <n v="20.068172000000001"/>
    <n v="90690100"/>
  </r>
  <r>
    <x v="6411"/>
    <n v="25.129999000000002"/>
    <n v="25.34"/>
    <n v="24.65"/>
    <x v="2698"/>
    <n v="19.996469000000001"/>
    <n v="64787100"/>
  </r>
  <r>
    <x v="6412"/>
    <n v="25.24"/>
    <n v="25.58"/>
    <n v="25.15"/>
    <x v="2751"/>
    <n v="20.323108999999999"/>
    <n v="56529400"/>
  </r>
  <r>
    <x v="6413"/>
    <n v="25.219999000000001"/>
    <n v="25.59"/>
    <n v="25.049999"/>
    <x v="2697"/>
    <n v="20.323114"/>
    <n v="54251500"/>
  </r>
  <r>
    <x v="6414"/>
    <n v="25.25"/>
    <n v="25.700001"/>
    <n v="24.93"/>
    <x v="2590"/>
    <n v="20.242940999999998"/>
    <n v="50923700"/>
  </r>
  <r>
    <x v="6415"/>
    <n v="24.57"/>
    <n v="25.09"/>
    <n v="24.030000999999999"/>
    <x v="2585"/>
    <n v="19.777954000000001"/>
    <n v="105714200"/>
  </r>
  <r>
    <x v="6416"/>
    <n v="24.41"/>
    <n v="24.620000999999998"/>
    <n v="23.91"/>
    <x v="2446"/>
    <n v="19.280902999999999"/>
    <n v="77397900"/>
  </r>
  <r>
    <x v="6417"/>
    <n v="24.42"/>
    <n v="24.49"/>
    <n v="23.790001"/>
    <x v="3346"/>
    <n v="19.224782999999999"/>
    <n v="54721000"/>
  </r>
  <r>
    <x v="6418"/>
    <n v="24.030000999999999"/>
    <n v="24.75"/>
    <n v="24.030000999999999"/>
    <x v="3130"/>
    <n v="19.818042999999999"/>
    <n v="59670600"/>
  </r>
  <r>
    <x v="6419"/>
    <n v="24.65"/>
    <n v="24.93"/>
    <n v="24.42"/>
    <x v="2854"/>
    <n v="19.962343000000001"/>
    <n v="45329700"/>
  </r>
  <r>
    <x v="6420"/>
    <n v="25.08"/>
    <n v="25.16"/>
    <n v="24.5"/>
    <x v="2596"/>
    <n v="19.697783999999999"/>
    <n v="48192000"/>
  </r>
  <r>
    <x v="6421"/>
    <n v="24.51"/>
    <n v="25.34"/>
    <n v="24.42"/>
    <x v="2590"/>
    <n v="20.242940999999998"/>
    <n v="71957000"/>
  </r>
  <r>
    <x v="6422"/>
    <n v="25.530000999999999"/>
    <n v="25.860001"/>
    <n v="25.370000999999998"/>
    <x v="2702"/>
    <n v="20.715948000000001"/>
    <n v="38863200"/>
  </r>
  <r>
    <x v="6423"/>
    <n v="25.73"/>
    <n v="26.43"/>
    <n v="25.700001"/>
    <x v="2651"/>
    <n v="21.028611999999999"/>
    <n v="57341400"/>
  </r>
  <r>
    <x v="6424"/>
    <n v="26.290001"/>
    <n v="26.709999"/>
    <n v="26.26"/>
    <x v="2500"/>
    <n v="21.325244999999999"/>
    <n v="59300800"/>
  </r>
  <r>
    <x v="6425"/>
    <n v="26.459999"/>
    <n v="26.860001"/>
    <n v="26.209999"/>
    <x v="3122"/>
    <n v="21.012568000000002"/>
    <n v="60510800"/>
  </r>
  <r>
    <x v="6426"/>
    <n v="25.780000999999999"/>
    <n v="26"/>
    <n v="25.66"/>
    <x v="2606"/>
    <n v="20.683873999999999"/>
    <n v="43894400"/>
  </r>
  <r>
    <x v="6427"/>
    <n v="25.200001"/>
    <n v="25.59"/>
    <n v="25.110001"/>
    <x v="2751"/>
    <n v="20.45138"/>
    <n v="54929300"/>
  </r>
  <r>
    <x v="6428"/>
    <n v="25.690000999999999"/>
    <n v="26"/>
    <n v="25.57"/>
    <x v="2438"/>
    <n v="20.844218999999999"/>
    <n v="41961000"/>
  </r>
  <r>
    <x v="6429"/>
    <n v="26"/>
    <n v="26.66"/>
    <n v="25.950001"/>
    <x v="2661"/>
    <n v="21.020596000000001"/>
    <n v="65811900"/>
  </r>
  <r>
    <x v="6430"/>
    <n v="26"/>
    <n v="26.18"/>
    <n v="25.5"/>
    <x v="2605"/>
    <n v="20.635777999999998"/>
    <n v="64529200"/>
  </r>
  <r>
    <x v="6431"/>
    <n v="25.440000999999999"/>
    <n v="25.93"/>
    <n v="25.27"/>
    <x v="2759"/>
    <n v="20.756029000000002"/>
    <n v="55046100"/>
  </r>
  <r>
    <x v="6432"/>
    <n v="25.92"/>
    <n v="26.190000999999999"/>
    <n v="25.809999000000001"/>
    <x v="2587"/>
    <n v="20.876286"/>
    <n v="48792300"/>
  </r>
  <r>
    <x v="6433"/>
    <n v="26.17"/>
    <n v="26.799999"/>
    <n v="25.889999"/>
    <x v="1666"/>
    <n v="21.245063999999999"/>
    <n v="66739200"/>
  </r>
  <r>
    <x v="6434"/>
    <n v="26.73"/>
    <n v="27.030000999999999"/>
    <n v="26.309999000000001"/>
    <x v="2731"/>
    <n v="21.637900999999999"/>
    <n v="67808300"/>
  </r>
  <r>
    <x v="6435"/>
    <n v="27.049999"/>
    <n v="27.27"/>
    <n v="26.83"/>
    <x v="2544"/>
    <n v="21.742122999999999"/>
    <n v="89681500"/>
  </r>
  <r>
    <x v="6436"/>
    <n v="26.799999"/>
    <n v="27.309999000000001"/>
    <n v="26.6"/>
    <x v="2710"/>
    <n v="21.814278000000002"/>
    <n v="52324900"/>
  </r>
  <r>
    <x v="6437"/>
    <n v="27.309999000000001"/>
    <n v="27.5"/>
    <n v="26.93"/>
    <x v="3347"/>
    <n v="21.629883"/>
    <n v="49211900"/>
  </r>
  <r>
    <x v="6438"/>
    <n v="27.049999"/>
    <n v="27.059999000000001"/>
    <n v="25.969999000000001"/>
    <x v="2413"/>
    <n v="20.836199000000001"/>
    <n v="72750700"/>
  </r>
  <r>
    <x v="6439"/>
    <n v="25.299999"/>
    <n v="25.65"/>
    <n v="24.6"/>
    <x v="3348"/>
    <n v="20.090622"/>
    <n v="96278300"/>
  </r>
  <r>
    <x v="6440"/>
    <n v="24.9"/>
    <n v="25.15"/>
    <n v="24.690000999999999"/>
    <x v="3348"/>
    <n v="20.090622"/>
    <n v="64768100"/>
  </r>
  <r>
    <x v="6441"/>
    <n v="25.190000999999999"/>
    <n v="25.52"/>
    <n v="24.73"/>
    <x v="3121"/>
    <n v="20.395265999999999"/>
    <n v="51057600"/>
  </r>
  <r>
    <x v="6442"/>
    <n v="25.66"/>
    <n v="25.92"/>
    <n v="25.450001"/>
    <x v="2703"/>
    <n v="20.579657000000001"/>
    <n v="55620700"/>
  </r>
  <r>
    <x v="6443"/>
    <n v="25.93"/>
    <n v="26.370000999999998"/>
    <n v="25.51"/>
    <x v="2595"/>
    <n v="20.507507"/>
    <n v="60736200"/>
  </r>
  <r>
    <x v="6444"/>
    <n v="25.98"/>
    <n v="26.17"/>
    <n v="25.09"/>
    <x v="2701"/>
    <n v="20.403283999999999"/>
    <n v="63407300"/>
  </r>
  <r>
    <x v="6445"/>
    <n v="25.200001"/>
    <n v="25.5"/>
    <n v="24.879999000000002"/>
    <x v="2741"/>
    <n v="19.954329000000001"/>
    <n v="54060500"/>
  </r>
  <r>
    <x v="6446"/>
    <n v="24.719999000000001"/>
    <n v="25.34"/>
    <n v="24.52"/>
    <x v="2569"/>
    <n v="19.665710000000001"/>
    <n v="64592500"/>
  </r>
  <r>
    <x v="6447"/>
    <n v="24.299999"/>
    <n v="25.389999"/>
    <n v="24.26"/>
    <x v="2871"/>
    <n v="20.315097999999999"/>
    <n v="83485400"/>
  </r>
  <r>
    <x v="6448"/>
    <n v="25.42"/>
    <n v="26.16"/>
    <n v="25.16"/>
    <x v="2759"/>
    <n v="20.756029000000002"/>
    <n v="94061300"/>
  </r>
  <r>
    <x v="6449"/>
    <n v="25.9"/>
    <n v="26.4"/>
    <n v="25.700001"/>
    <x v="2502"/>
    <n v="21.116793000000001"/>
    <n v="55111400"/>
  </r>
  <r>
    <x v="6450"/>
    <n v="26.34"/>
    <n v="26.51"/>
    <n v="26.200001"/>
    <x v="2533"/>
    <n v="21.044644999999999"/>
    <n v="52741600"/>
  </r>
  <r>
    <x v="6451"/>
    <n v="26.58"/>
    <n v="26.969999000000001"/>
    <n v="26.469999000000001"/>
    <x v="2886"/>
    <n v="21.597815000000001"/>
    <n v="41815300"/>
  </r>
  <r>
    <x v="6452"/>
    <n v="26.860001"/>
    <n v="27.07"/>
    <n v="26.719999000000001"/>
    <x v="2132"/>
    <n v="21.645914000000001"/>
    <n v="38826200"/>
  </r>
  <r>
    <x v="6453"/>
    <n v="27.18"/>
    <n v="27.309999000000001"/>
    <n v="26.9"/>
    <x v="2727"/>
    <n v="21.613845999999999"/>
    <n v="52489800"/>
  </r>
  <r>
    <x v="6454"/>
    <n v="26.76"/>
    <n v="27.200001"/>
    <n v="26.620000999999998"/>
    <x v="2421"/>
    <n v="21.790226000000001"/>
    <n v="43823500"/>
  </r>
  <r>
    <x v="6455"/>
    <n v="27.309999000000001"/>
    <n v="27.5"/>
    <n v="27.02"/>
    <x v="2643"/>
    <n v="21.862373000000002"/>
    <n v="50947700"/>
  </r>
  <r>
    <x v="6456"/>
    <n v="27.110001"/>
    <n v="27.42"/>
    <n v="26.85"/>
    <x v="3347"/>
    <n v="21.629883"/>
    <n v="39453300"/>
  </r>
  <r>
    <x v="6457"/>
    <n v="26.940000999999999"/>
    <n v="27.4"/>
    <n v="26.799999"/>
    <x v="2641"/>
    <n v="21.894445000000001"/>
    <n v="52487900"/>
  </r>
  <r>
    <x v="6458"/>
    <n v="27.370000999999998"/>
    <n v="27.469999000000001"/>
    <n v="27.01"/>
    <x v="2864"/>
    <n v="21.750140999999999"/>
    <n v="42880000"/>
  </r>
  <r>
    <x v="6459"/>
    <n v="27.26"/>
    <n v="27.34"/>
    <n v="26.4"/>
    <x v="2707"/>
    <n v="21.677992"/>
    <n v="76300200"/>
  </r>
  <r>
    <x v="6460"/>
    <n v="27.15"/>
    <n v="27.190000999999999"/>
    <n v="26.799999"/>
    <x v="2241"/>
    <n v="21.774197000000001"/>
    <n v="76620600"/>
  </r>
  <r>
    <x v="6461"/>
    <n v="27.059999000000001"/>
    <n v="27.4"/>
    <n v="27.040001"/>
    <x v="2796"/>
    <n v="21.798238999999999"/>
    <n v="56897800"/>
  </r>
  <r>
    <x v="6462"/>
    <n v="27.08"/>
    <n v="27.23"/>
    <n v="26.719999000000001"/>
    <x v="2819"/>
    <n v="21.493599"/>
    <n v="53554600"/>
  </r>
  <r>
    <x v="6463"/>
    <n v="27.030000999999999"/>
    <n v="27.059999000000001"/>
    <n v="26.1"/>
    <x v="2704"/>
    <n v="21.317222999999998"/>
    <n v="63029900"/>
  </r>
  <r>
    <x v="6464"/>
    <n v="27.129999000000002"/>
    <n v="27.4"/>
    <n v="26.65"/>
    <x v="2795"/>
    <n v="21.846343999999998"/>
    <n v="74512400"/>
  </r>
  <r>
    <x v="6465"/>
    <n v="27.139999"/>
    <n v="27.190000999999999"/>
    <n v="26.790001"/>
    <x v="3347"/>
    <n v="21.629883"/>
    <n v="57712100"/>
  </r>
  <r>
    <x v="6466"/>
    <n v="26.76"/>
    <n v="27"/>
    <n v="26.620000999999998"/>
    <x v="2404"/>
    <n v="21.349287"/>
    <n v="46799000"/>
  </r>
  <r>
    <x v="6467"/>
    <n v="26.190000999999999"/>
    <n v="26.32"/>
    <n v="25.860001"/>
    <x v="2413"/>
    <n v="20.836199000000001"/>
    <n v="61182600"/>
  </r>
  <r>
    <x v="6468"/>
    <n v="26.1"/>
    <n v="26.200001"/>
    <n v="25.700001"/>
    <x v="2832"/>
    <n v="20.852236000000001"/>
    <n v="53533100"/>
  </r>
  <r>
    <x v="6469"/>
    <n v="26.24"/>
    <n v="26.59"/>
    <n v="25.98"/>
    <x v="2734"/>
    <n v="21.269119"/>
    <n v="65836100"/>
  </r>
  <r>
    <x v="6470"/>
    <n v="26.379999000000002"/>
    <n v="26.4"/>
    <n v="26"/>
    <x v="2533"/>
    <n v="21.044644999999999"/>
    <n v="36549200"/>
  </r>
  <r>
    <x v="6471"/>
    <n v="26.209999"/>
    <n v="26.82"/>
    <n v="26.129999000000002"/>
    <x v="2828"/>
    <n v="21.485579999999999"/>
    <n v="42589700"/>
  </r>
  <r>
    <x v="6472"/>
    <n v="27.01"/>
    <n v="27.200001"/>
    <n v="26.690000999999999"/>
    <x v="2241"/>
    <n v="21.774197000000001"/>
    <n v="47822500"/>
  </r>
  <r>
    <x v="6473"/>
    <n v="26.59"/>
    <n v="26.75"/>
    <n v="26.059999000000001"/>
    <x v="2612"/>
    <n v="21.004556999999998"/>
    <n v="62950900"/>
  </r>
  <r>
    <x v="6474"/>
    <n v="26.469999000000001"/>
    <n v="26.5"/>
    <n v="26.120000999999998"/>
    <x v="2833"/>
    <n v="21.068693"/>
    <n v="32514400"/>
  </r>
  <r>
    <x v="6475"/>
    <n v="26.58"/>
    <n v="27.08"/>
    <n v="26.57"/>
    <x v="2536"/>
    <n v="21.573763"/>
    <n v="37903000"/>
  </r>
  <r>
    <x v="6476"/>
    <n v="26.879999000000002"/>
    <n v="27"/>
    <n v="26.65"/>
    <x v="2823"/>
    <n v="21.453510000000001"/>
    <n v="34199200"/>
  </r>
  <r>
    <x v="6477"/>
    <n v="26.559999000000001"/>
    <n v="26.940000999999999"/>
    <n v="26.4"/>
    <x v="2692"/>
    <n v="21.598897999999998"/>
    <n v="43874200"/>
  </r>
  <r>
    <x v="6478"/>
    <n v="26.469999000000001"/>
    <n v="26.51"/>
    <n v="26.040001"/>
    <x v="2631"/>
    <n v="21.05772"/>
    <n v="53262800"/>
  </r>
  <r>
    <x v="6479"/>
    <n v="26.01"/>
    <n v="26.040001"/>
    <n v="25.440000999999999"/>
    <x v="2658"/>
    <n v="20.629622000000001"/>
    <n v="70977500"/>
  </r>
  <r>
    <x v="6480"/>
    <n v="25.48"/>
    <n v="25.5"/>
    <n v="25.15"/>
    <x v="2852"/>
    <n v="20.435762"/>
    <n v="47626200"/>
  </r>
  <r>
    <x v="6481"/>
    <n v="25.24"/>
    <n v="25.25"/>
    <n v="24.9"/>
    <x v="2458"/>
    <n v="20.193438"/>
    <n v="61882500"/>
  </r>
  <r>
    <x v="6482"/>
    <n v="24.889999"/>
    <n v="24.959999"/>
    <n v="24.65"/>
    <x v="2618"/>
    <n v="20.023817000000001"/>
    <n v="49204500"/>
  </r>
  <r>
    <x v="6483"/>
    <n v="24.610001"/>
    <n v="24.790001"/>
    <n v="24.469999000000001"/>
    <x v="2844"/>
    <n v="19.765331"/>
    <n v="49099700"/>
  </r>
  <r>
    <x v="6484"/>
    <n v="24.379999000000002"/>
    <n v="24.67"/>
    <n v="24.299999"/>
    <x v="2874"/>
    <n v="19.628021"/>
    <n v="26164600"/>
  </r>
  <r>
    <x v="6485"/>
    <n v="24.940000999999999"/>
    <n v="24.969999000000001"/>
    <n v="24.690000999999999"/>
    <x v="2623"/>
    <n v="20.088433999999999"/>
    <n v="46766700"/>
  </r>
  <r>
    <x v="6486"/>
    <n v="24.82"/>
    <n v="25.040001"/>
    <n v="24.75"/>
    <x v="2848"/>
    <n v="20.064202999999999"/>
    <n v="40917100"/>
  </r>
  <r>
    <x v="6487"/>
    <n v="25.370000999999998"/>
    <n v="25.59"/>
    <n v="25.139999"/>
    <x v="2595"/>
    <n v="20.661933999999999"/>
    <n v="81350900"/>
  </r>
  <r>
    <x v="6488"/>
    <n v="25.559999000000001"/>
    <n v="25.629999000000002"/>
    <n v="25.200001"/>
    <x v="2836"/>
    <n v="20.419602999999999"/>
    <n v="48545400"/>
  </r>
  <r>
    <x v="6489"/>
    <n v="25.59"/>
    <n v="25.620000999999998"/>
    <n v="25.16"/>
    <x v="2604"/>
    <n v="20.371141000000001"/>
    <n v="52293800"/>
  </r>
  <r>
    <x v="6490"/>
    <n v="25.780000999999999"/>
    <n v="25.799999"/>
    <n v="25.5"/>
    <x v="2633"/>
    <n v="20.758862000000001"/>
    <n v="56818400"/>
  </r>
  <r>
    <x v="6491"/>
    <n v="25.809999000000001"/>
    <n v="25.870000999999998"/>
    <n v="25.610001"/>
    <x v="2654"/>
    <n v="20.726551000000001"/>
    <n v="46175300"/>
  </r>
  <r>
    <x v="6492"/>
    <n v="25.67"/>
    <n v="25.76"/>
    <n v="25.34"/>
    <x v="2657"/>
    <n v="20.678076000000001"/>
    <n v="62667000"/>
  </r>
  <r>
    <x v="6493"/>
    <n v="25.48"/>
    <n v="25.719999000000001"/>
    <n v="25.370000999999998"/>
    <x v="2700"/>
    <n v="20.516528999999998"/>
    <n v="60522200"/>
  </r>
  <r>
    <x v="6494"/>
    <n v="25.52"/>
    <n v="25.870000999999998"/>
    <n v="25.5"/>
    <x v="2633"/>
    <n v="20.758862000000001"/>
    <n v="53788500"/>
  </r>
  <r>
    <x v="6495"/>
    <n v="25.41"/>
    <n v="25.57"/>
    <n v="25.290001"/>
    <x v="2751"/>
    <n v="20.605383"/>
    <n v="38945900"/>
  </r>
  <r>
    <x v="6496"/>
    <n v="25.75"/>
    <n v="26.1"/>
    <n v="25.65"/>
    <x v="2603"/>
    <n v="20.807321999999999"/>
    <n v="54581100"/>
  </r>
  <r>
    <x v="6497"/>
    <n v="25.719999000000001"/>
    <n v="25.860001"/>
    <n v="25.57"/>
    <x v="2749"/>
    <n v="20.670007999999999"/>
    <n v="47926400"/>
  </r>
  <r>
    <x v="6498"/>
    <n v="25.719999000000001"/>
    <n v="25.879999000000002"/>
    <n v="25.540001"/>
    <x v="3283"/>
    <n v="20.645775"/>
    <n v="46213900"/>
  </r>
  <r>
    <x v="6499"/>
    <n v="25.67"/>
    <n v="26.17"/>
    <n v="25.629999000000002"/>
    <x v="2438"/>
    <n v="21.001170999999999"/>
    <n v="101408100"/>
  </r>
  <r>
    <x v="6500"/>
    <n v="26.02"/>
    <n v="26.120000999999998"/>
    <n v="25.459999"/>
    <x v="2752"/>
    <n v="20.621545999999999"/>
    <n v="52258300"/>
  </r>
  <r>
    <x v="6501"/>
    <n v="25.860001"/>
    <n v="26.1"/>
    <n v="25.809999000000001"/>
    <x v="3120"/>
    <n v="21.025410000000001"/>
    <n v="60767600"/>
  </r>
  <r>
    <x v="6502"/>
    <n v="26.01"/>
    <n v="26.190000999999999"/>
    <n v="25.440000999999999"/>
    <x v="2603"/>
    <n v="20.807321999999999"/>
    <n v="64132500"/>
  </r>
  <r>
    <x v="6503"/>
    <n v="25.82"/>
    <n v="25.860001"/>
    <n v="25.48"/>
    <x v="2856"/>
    <n v="20.847709999999999"/>
    <n v="35794100"/>
  </r>
  <r>
    <x v="6504"/>
    <n v="25.91"/>
    <n v="26.040001"/>
    <n v="25.73"/>
    <x v="3120"/>
    <n v="21.025410000000001"/>
    <n v="23205800"/>
  </r>
  <r>
    <x v="6505"/>
    <n v="25.959999"/>
    <n v="26.139999"/>
    <n v="25.93"/>
    <x v="2587"/>
    <n v="21.033491000000001"/>
    <n v="21287200"/>
  </r>
  <r>
    <x v="6506"/>
    <n v="26.110001"/>
    <n v="26.15"/>
    <n v="25.76"/>
    <x v="3336"/>
    <n v="20.855778000000001"/>
    <n v="29822500"/>
  </r>
  <r>
    <x v="6507"/>
    <n v="25.950001"/>
    <n v="26.049999"/>
    <n v="25.860001"/>
    <x v="2831"/>
    <n v="21.017334000000002"/>
    <n v="22616900"/>
  </r>
  <r>
    <x v="6508"/>
    <n v="26"/>
    <n v="26.120000999999998"/>
    <n v="25.91"/>
    <x v="2630"/>
    <n v="20.968872000000001"/>
    <n v="27395700"/>
  </r>
  <r>
    <x v="6509"/>
    <n v="26.549999"/>
    <n v="26.959999"/>
    <n v="26.389999"/>
    <x v="2732"/>
    <n v="21.623135000000001"/>
    <n v="64731500"/>
  </r>
  <r>
    <x v="6510"/>
    <n v="26.82"/>
    <n v="27.469999000000001"/>
    <n v="26.780000999999999"/>
    <x v="2642"/>
    <n v="22.132006000000001"/>
    <n v="80516100"/>
  </r>
  <r>
    <x v="6511"/>
    <n v="27.379999000000002"/>
    <n v="27.73"/>
    <n v="27.290001"/>
    <x v="2513"/>
    <n v="22.358177000000001"/>
    <n v="56081400"/>
  </r>
  <r>
    <x v="6512"/>
    <n v="27.530000999999999"/>
    <n v="28.190000999999999"/>
    <n v="27.530000999999999"/>
    <x v="2992"/>
    <n v="22.705501999999999"/>
    <n v="99455500"/>
  </r>
  <r>
    <x v="6513"/>
    <n v="28.049999"/>
    <n v="28.1"/>
    <n v="27.719999000000001"/>
    <x v="2806"/>
    <n v="22.406645000000001"/>
    <n v="59706800"/>
  </r>
  <r>
    <x v="6514"/>
    <n v="27.93"/>
    <n v="28.15"/>
    <n v="27.75"/>
    <x v="2419"/>
    <n v="22.487414999999999"/>
    <n v="60014400"/>
  </r>
  <r>
    <x v="6515"/>
    <n v="27.43"/>
    <n v="27.98"/>
    <n v="27.370000999999998"/>
    <x v="2789"/>
    <n v="22.39048"/>
    <n v="65582400"/>
  </r>
  <r>
    <x v="6516"/>
    <n v="27.870000999999998"/>
    <n v="28.02"/>
    <n v="27.65"/>
    <x v="2884"/>
    <n v="22.616651999999998"/>
    <n v="49370800"/>
  </r>
  <r>
    <x v="6517"/>
    <n v="27.93"/>
    <n v="28.25"/>
    <n v="27.790001"/>
    <x v="1636"/>
    <n v="22.818586"/>
    <n v="60196100"/>
  </r>
  <r>
    <x v="6518"/>
    <n v="28.4"/>
    <n v="28.65"/>
    <n v="28.17"/>
    <x v="3032"/>
    <n v="22.826664000000001"/>
    <n v="72395300"/>
  </r>
  <r>
    <x v="6519"/>
    <n v="28.309999000000001"/>
    <n v="28.4"/>
    <n v="27.969999000000001"/>
    <x v="3117"/>
    <n v="22.802429"/>
    <n v="64860600"/>
  </r>
  <r>
    <x v="6520"/>
    <n v="28.16"/>
    <n v="28.440000999999999"/>
    <n v="28.030000999999999"/>
    <x v="2799"/>
    <n v="22.713581000000001"/>
    <n v="74053500"/>
  </r>
  <r>
    <x v="6521"/>
    <n v="28.82"/>
    <n v="29.74"/>
    <n v="28.75"/>
    <x v="3041"/>
    <n v="23.997883000000002"/>
    <n v="165902900"/>
  </r>
  <r>
    <x v="6522"/>
    <n v="29.549999"/>
    <n v="29.950001"/>
    <n v="29.35"/>
    <x v="2813"/>
    <n v="24.014036000000001"/>
    <n v="76078100"/>
  </r>
  <r>
    <x v="6523"/>
    <n v="29.469999000000001"/>
    <n v="29.57"/>
    <n v="29.18"/>
    <x v="3349"/>
    <n v="23.699017999999999"/>
    <n v="51703300"/>
  </r>
  <r>
    <x v="6524"/>
    <n v="29.07"/>
    <n v="29.65"/>
    <n v="29.07"/>
    <x v="2228"/>
    <n v="23.876719000000001"/>
    <n v="59231700"/>
  </r>
  <r>
    <x v="6525"/>
    <n v="29.610001"/>
    <n v="29.700001"/>
    <n v="29.4"/>
    <x v="2125"/>
    <n v="23.828258999999999"/>
    <n v="49102800"/>
  </r>
  <r>
    <x v="6526"/>
    <n v="29.450001"/>
    <n v="29.530000999999999"/>
    <n v="29.17"/>
    <x v="2687"/>
    <n v="23.610174000000001"/>
    <n v="44187700"/>
  </r>
  <r>
    <x v="6527"/>
    <n v="28.969999000000001"/>
    <n v="29.620000999999998"/>
    <n v="28.83"/>
    <x v="2981"/>
    <n v="23.917116"/>
    <n v="51114800"/>
  </r>
  <r>
    <x v="6528"/>
    <n v="29.66"/>
    <n v="29.700001"/>
    <n v="29.23"/>
    <x v="3350"/>
    <n v="23.852491000000001"/>
    <n v="50572400"/>
  </r>
  <r>
    <x v="6529"/>
    <n v="29.790001"/>
    <n v="30.049999"/>
    <n v="29.76"/>
    <x v="2952"/>
    <n v="24.143274000000002"/>
    <n v="67409900"/>
  </r>
  <r>
    <x v="6530"/>
    <n v="29.9"/>
    <n v="30.17"/>
    <n v="29.709999"/>
    <x v="2341"/>
    <n v="24.191745999999998"/>
    <n v="52223300"/>
  </r>
  <r>
    <x v="6531"/>
    <n v="30.139999"/>
    <n v="30.4"/>
    <n v="30.09"/>
    <x v="3351"/>
    <n v="24.425979999999999"/>
    <n v="41838500"/>
  </r>
  <r>
    <x v="6532"/>
    <n v="30.040001"/>
    <n v="30.219999000000001"/>
    <n v="29.969999000000001"/>
    <x v="2332"/>
    <n v="24.393675000000002"/>
    <n v="28039700"/>
  </r>
  <r>
    <x v="6533"/>
    <n v="30.15"/>
    <n v="30.49"/>
    <n v="30.049999"/>
    <x v="3308"/>
    <n v="24.514842999999999"/>
    <n v="39242400"/>
  </r>
  <r>
    <x v="6534"/>
    <n v="30.26"/>
    <n v="30.67"/>
    <n v="30.219999000000001"/>
    <x v="2266"/>
    <n v="24.765234"/>
    <n v="49659100"/>
  </r>
  <r>
    <x v="6535"/>
    <n v="30.68"/>
    <n v="30.799999"/>
    <n v="30.48"/>
    <x v="3306"/>
    <n v="24.854092000000001"/>
    <n v="50481600"/>
  </r>
  <r>
    <x v="6536"/>
    <n v="30.639999"/>
    <n v="30.799999"/>
    <n v="30.360001"/>
    <x v="1711"/>
    <n v="24.635998000000001"/>
    <n v="44605300"/>
  </r>
  <r>
    <x v="6537"/>
    <n v="30.629999000000002"/>
    <n v="30.77"/>
    <n v="30.43"/>
    <x v="3002"/>
    <n v="24.700617000000001"/>
    <n v="33319800"/>
  </r>
  <r>
    <x v="6538"/>
    <n v="30.33"/>
    <n v="30.459999"/>
    <n v="29.85"/>
    <x v="3110"/>
    <n v="24.594920999999999"/>
    <n v="59644000"/>
  </r>
  <r>
    <x v="6539"/>
    <n v="30.33"/>
    <n v="30.389999"/>
    <n v="30.030000999999999"/>
    <x v="2361"/>
    <n v="24.432307999999999"/>
    <n v="43311300"/>
  </r>
  <r>
    <x v="6540"/>
    <n v="30.309999000000001"/>
    <n v="31.549999"/>
    <n v="30.299999"/>
    <x v="3352"/>
    <n v="25.4405"/>
    <n v="94705100"/>
  </r>
  <r>
    <x v="6541"/>
    <n v="31.200001"/>
    <n v="31.32"/>
    <n v="30.950001"/>
    <x v="3048"/>
    <n v="25.407973999999999"/>
    <n v="70036500"/>
  </r>
  <r>
    <x v="6542"/>
    <n v="31.18"/>
    <n v="31.610001"/>
    <n v="31.15"/>
    <x v="3353"/>
    <n v="25.562452"/>
    <n v="50829900"/>
  </r>
  <r>
    <x v="6543"/>
    <n v="31.450001"/>
    <n v="31.68"/>
    <n v="31.18"/>
    <x v="2355"/>
    <n v="25.424233999999998"/>
    <n v="49253200"/>
  </r>
  <r>
    <x v="6544"/>
    <n v="31.200001"/>
    <n v="31.59"/>
    <n v="31"/>
    <x v="3354"/>
    <n v="25.505538999999999"/>
    <n v="35034700"/>
  </r>
  <r>
    <x v="6545"/>
    <n v="31.48"/>
    <n v="31.5"/>
    <n v="31.24"/>
    <x v="3355"/>
    <n v="25.594971000000001"/>
    <n v="35575400"/>
  </r>
  <r>
    <x v="6546"/>
    <n v="31.24"/>
    <n v="31.5"/>
    <n v="31.1"/>
    <x v="2225"/>
    <n v="25.489273000000001"/>
    <n v="34568400"/>
  </r>
  <r>
    <x v="6547"/>
    <n v="31.41"/>
    <n v="31.93"/>
    <n v="31.379999000000002"/>
    <x v="2288"/>
    <n v="25.912067"/>
    <n v="45230600"/>
  </r>
  <r>
    <x v="6548"/>
    <n v="31.889999"/>
    <n v="32"/>
    <n v="31.610001"/>
    <x v="3356"/>
    <n v="25.806367999999999"/>
    <n v="59323600"/>
  </r>
  <r>
    <x v="6549"/>
    <n v="31.93"/>
    <n v="32.389999000000003"/>
    <n v="31.85"/>
    <x v="3357"/>
    <n v="26.253554999999999"/>
    <n v="77344100"/>
  </r>
  <r>
    <x v="6550"/>
    <n v="32.310001"/>
    <n v="32.439999"/>
    <n v="32"/>
    <x v="3358"/>
    <n v="26.082816999999999"/>
    <n v="47314200"/>
  </r>
  <r>
    <x v="6551"/>
    <n v="32.009998000000003"/>
    <n v="32.049999"/>
    <n v="31.620000999999998"/>
    <x v="3112"/>
    <n v="25.855153999999999"/>
    <n v="45240000"/>
  </r>
  <r>
    <x v="6552"/>
    <n v="31.540001"/>
    <n v="31.98"/>
    <n v="31.49"/>
    <x v="3359"/>
    <n v="25.660022999999999"/>
    <n v="51932900"/>
  </r>
  <r>
    <x v="6553"/>
    <n v="31.67"/>
    <n v="31.92"/>
    <n v="31.530000999999999"/>
    <x v="3360"/>
    <n v="25.887678000000001"/>
    <n v="34340400"/>
  </r>
  <r>
    <x v="6554"/>
    <n v="32.040000999999997"/>
    <n v="32.209999000000003"/>
    <n v="31.9"/>
    <x v="3361"/>
    <n v="26.02589"/>
    <n v="36747400"/>
  </r>
  <r>
    <x v="6555"/>
    <n v="32.099997999999999"/>
    <n v="32.159999999999997"/>
    <n v="31.92"/>
    <x v="3049"/>
    <n v="26.009633999999998"/>
    <n v="34628400"/>
  </r>
  <r>
    <x v="6556"/>
    <n v="31.969999000000001"/>
    <n v="32.200001"/>
    <n v="31.82"/>
    <x v="3362"/>
    <n v="26.050284999999999"/>
    <n v="34073600"/>
  </r>
  <r>
    <x v="6557"/>
    <n v="32.240001999999997"/>
    <n v="32.689999"/>
    <n v="32.150002000000001"/>
    <x v="3363"/>
    <n v="26.562505999999999"/>
    <n v="48951700"/>
  </r>
  <r>
    <x v="6558"/>
    <n v="32.529998999999997"/>
    <n v="32.880001"/>
    <n v="32.490001999999997"/>
    <x v="3071"/>
    <n v="26.643818"/>
    <n v="41986900"/>
  </r>
  <r>
    <x v="6559"/>
    <n v="32.790000999999997"/>
    <n v="32.939999"/>
    <n v="32.580002"/>
    <x v="3364"/>
    <n v="26.708860000000001"/>
    <n v="49068300"/>
  </r>
  <r>
    <x v="6560"/>
    <n v="32.909999999999997"/>
    <n v="32.950001"/>
    <n v="32.5"/>
    <x v="3101"/>
    <n v="26.505600000000001"/>
    <n v="65626400"/>
  </r>
  <r>
    <x v="6561"/>
    <n v="32.540000999999997"/>
    <n v="32.610000999999997"/>
    <n v="32.150002000000001"/>
    <x v="3102"/>
    <n v="26.18037"/>
    <n v="44789200"/>
  </r>
  <r>
    <x v="6562"/>
    <n v="32.099997999999999"/>
    <n v="32.150002000000001"/>
    <n v="31.74"/>
    <x v="3049"/>
    <n v="26.009633999999998"/>
    <n v="41566800"/>
  </r>
  <r>
    <x v="6563"/>
    <n v="31.959999"/>
    <n v="32.150002000000001"/>
    <n v="31.82"/>
    <x v="2325"/>
    <n v="25.944586000000001"/>
    <n v="37928600"/>
  </r>
  <r>
    <x v="6564"/>
    <n v="31.809999000000001"/>
    <n v="32.090000000000003"/>
    <n v="31.790001"/>
    <x v="2110"/>
    <n v="26.017765000000001"/>
    <n v="31749500"/>
  </r>
  <r>
    <x v="6565"/>
    <n v="32.099997999999999"/>
    <n v="32.110000999999997"/>
    <n v="31.719999000000001"/>
    <x v="3361"/>
    <n v="26.02589"/>
    <n v="35912200"/>
  </r>
  <r>
    <x v="6566"/>
    <n v="32.189999"/>
    <n v="32.610000999999997"/>
    <n v="32.150002000000001"/>
    <x v="3365"/>
    <n v="26.497467"/>
    <n v="36758300"/>
  </r>
  <r>
    <x v="6567"/>
    <n v="32.650002000000001"/>
    <n v="32.700001"/>
    <n v="32.400002000000001"/>
    <x v="3366"/>
    <n v="26.440556000000001"/>
    <n v="36274900"/>
  </r>
  <r>
    <x v="6568"/>
    <n v="32.520000000000003"/>
    <n v="32.700001"/>
    <n v="32.040000999999997"/>
    <x v="3367"/>
    <n v="26.172239000000001"/>
    <n v="41344800"/>
  </r>
  <r>
    <x v="6569"/>
    <n v="32.060001"/>
    <n v="32.189999"/>
    <n v="31.809999000000001"/>
    <x v="3368"/>
    <n v="26.115331999999999"/>
    <n v="37038500"/>
  </r>
  <r>
    <x v="6570"/>
    <n v="32.400002000000001"/>
    <n v="32.409999999999997"/>
    <n v="32.040000999999997"/>
    <x v="3369"/>
    <n v="26.229161999999999"/>
    <n v="31749400"/>
  </r>
  <r>
    <x v="6571"/>
    <n v="32.220001000000003"/>
    <n v="32.459999000000003"/>
    <n v="31.950001"/>
    <x v="3357"/>
    <n v="26.253554999999999"/>
    <n v="35853600"/>
  </r>
  <r>
    <x v="6572"/>
    <n v="32.159999999999997"/>
    <n v="32.189999"/>
    <n v="31.66"/>
    <x v="3370"/>
    <n v="25.968980999999999"/>
    <n v="42752100"/>
  </r>
  <r>
    <x v="6573"/>
    <n v="31.66"/>
    <n v="31.690000999999999"/>
    <n v="31.049999"/>
    <x v="2972"/>
    <n v="25.375451999999999"/>
    <n v="49455900"/>
  </r>
  <r>
    <x v="6574"/>
    <n v="31.15"/>
    <n v="31.629999000000002"/>
    <n v="31.049999"/>
    <x v="3371"/>
    <n v="25.627497000000002"/>
    <n v="50368600"/>
  </r>
  <r>
    <x v="6575"/>
    <n v="31.219999000000001"/>
    <n v="31.4"/>
    <n v="30.969999000000001"/>
    <x v="2268"/>
    <n v="25.286021999999999"/>
    <n v="31056400"/>
  </r>
  <r>
    <x v="6576"/>
    <n v="31.059999000000001"/>
    <n v="31.190000999999999"/>
    <n v="30.299999"/>
    <x v="3372"/>
    <n v="24.773790000000002"/>
    <n v="54131300"/>
  </r>
  <r>
    <x v="6577"/>
    <n v="30.43"/>
    <n v="30.530000999999999"/>
    <n v="30.23"/>
    <x v="3308"/>
    <n v="24.676228999999999"/>
    <n v="43014000"/>
  </r>
  <r>
    <x v="6578"/>
    <n v="30.48"/>
    <n v="31.040001"/>
    <n v="30.42"/>
    <x v="3005"/>
    <n v="25.188444"/>
    <n v="38304000"/>
  </r>
  <r>
    <x v="6579"/>
    <n v="30.889999"/>
    <n v="31.16"/>
    <n v="30.719999000000001"/>
    <x v="3373"/>
    <n v="25.050225999999999"/>
    <n v="39749200"/>
  </r>
  <r>
    <x v="6580"/>
    <n v="30.99"/>
    <n v="31.190000999999999"/>
    <n v="30.77"/>
    <x v="3047"/>
    <n v="25.269753999999999"/>
    <n v="38124800"/>
  </r>
  <r>
    <x v="6581"/>
    <n v="31.27"/>
    <n v="31.610001"/>
    <n v="31.200001"/>
    <x v="3353"/>
    <n v="25.562452"/>
    <n v="34361500"/>
  </r>
  <r>
    <x v="6582"/>
    <n v="31.280000999999999"/>
    <n v="31.309999000000001"/>
    <n v="31.040001"/>
    <x v="3374"/>
    <n v="25.318531"/>
    <n v="40552900"/>
  </r>
  <r>
    <x v="6583"/>
    <n v="31.129999000000002"/>
    <n v="31.68"/>
    <n v="30.940000999999999"/>
    <x v="3375"/>
    <n v="25.212834999999998"/>
    <n v="54781200"/>
  </r>
  <r>
    <x v="6584"/>
    <n v="32.150002000000001"/>
    <n v="32.889999000000003"/>
    <n v="32.049999"/>
    <x v="2290"/>
    <n v="26.359251"/>
    <n v="106045000"/>
  </r>
  <r>
    <x v="6585"/>
    <n v="32.310001"/>
    <n v="32.5"/>
    <n v="32.029998999999997"/>
    <x v="3368"/>
    <n v="26.115331999999999"/>
    <n v="61398200"/>
  </r>
  <r>
    <x v="6586"/>
    <n v="32.209999000000003"/>
    <n v="32.520000000000003"/>
    <n v="31.83"/>
    <x v="3376"/>
    <n v="25.952722999999999"/>
    <n v="40871100"/>
  </r>
  <r>
    <x v="6587"/>
    <n v="31.92"/>
    <n v="32.32"/>
    <n v="31.870000999999998"/>
    <x v="3102"/>
    <n v="26.18037"/>
    <n v="62495500"/>
  </r>
  <r>
    <x v="6588"/>
    <n v="32.119999"/>
    <n v="32.229999999999997"/>
    <n v="31.92"/>
    <x v="3377"/>
    <n v="26.107201"/>
    <n v="40308100"/>
  </r>
  <r>
    <x v="6589"/>
    <n v="32.119999"/>
    <n v="32.220001000000003"/>
    <n v="31.879999000000002"/>
    <x v="3378"/>
    <n v="26.001503"/>
    <n v="41419100"/>
  </r>
  <r>
    <x v="6590"/>
    <n v="31.98"/>
    <n v="32.110000999999997"/>
    <n v="31.92"/>
    <x v="3379"/>
    <n v="26.034026999999998"/>
    <n v="35697200"/>
  </r>
  <r>
    <x v="6591"/>
    <n v="32.049999"/>
    <n v="32.340000000000003"/>
    <n v="31.950001"/>
    <x v="3361"/>
    <n v="26.02589"/>
    <n v="43832300"/>
  </r>
  <r>
    <x v="6592"/>
    <n v="31.85"/>
    <n v="31.93"/>
    <n v="31.639999"/>
    <x v="3112"/>
    <n v="25.855153999999999"/>
    <n v="37385300"/>
  </r>
  <r>
    <x v="6593"/>
    <n v="31.879999000000002"/>
    <n v="31.9"/>
    <n v="31.610001"/>
    <x v="3380"/>
    <n v="25.822631999999999"/>
    <n v="31501300"/>
  </r>
  <r>
    <x v="6594"/>
    <n v="31.450001"/>
    <n v="31.57"/>
    <n v="30.92"/>
    <x v="3005"/>
    <n v="25.188444"/>
    <n v="57927200"/>
  </r>
  <r>
    <x v="6595"/>
    <n v="30.700001"/>
    <n v="30.860001"/>
    <n v="30.57"/>
    <x v="3381"/>
    <n v="24.920137"/>
    <n v="48641400"/>
  </r>
  <r>
    <x v="6596"/>
    <n v="30.48"/>
    <n v="30.780000999999999"/>
    <n v="30.17"/>
    <x v="1711"/>
    <n v="24.798179999999999"/>
    <n v="46328300"/>
  </r>
  <r>
    <x v="6597"/>
    <n v="30.190000999999999"/>
    <n v="30.83"/>
    <n v="30.1"/>
    <x v="3382"/>
    <n v="25.009575000000002"/>
    <n v="50309300"/>
  </r>
  <r>
    <x v="6598"/>
    <n v="30.860001"/>
    <n v="31.02"/>
    <n v="30.450001"/>
    <x v="2145"/>
    <n v="24.993313000000001"/>
    <n v="43839200"/>
  </r>
  <r>
    <x v="6599"/>
    <n v="30.690000999999999"/>
    <n v="31.540001"/>
    <n v="30.690000999999999"/>
    <x v="2326"/>
    <n v="25.334800999999999"/>
    <n v="43459300"/>
  </r>
  <r>
    <x v="6600"/>
    <n v="30.82"/>
    <n v="31.040001"/>
    <n v="30.639999"/>
    <x v="2362"/>
    <n v="24.94454"/>
    <n v="40528900"/>
  </r>
  <r>
    <x v="6601"/>
    <n v="30.639999"/>
    <n v="30.799999"/>
    <n v="30.15"/>
    <x v="3383"/>
    <n v="24.723572000000001"/>
    <n v="61822800"/>
  </r>
  <r>
    <x v="6602"/>
    <n v="30.309999000000001"/>
    <n v="30.32"/>
    <n v="29.74"/>
    <x v="2333"/>
    <n v="24.469864000000001"/>
    <n v="60083700"/>
  </r>
  <r>
    <x v="6603"/>
    <n v="29.99"/>
    <n v="30.209999"/>
    <n v="29.709999"/>
    <x v="2365"/>
    <n v="24.322555999999999"/>
    <n v="48484000"/>
  </r>
  <r>
    <x v="6604"/>
    <n v="29.790001"/>
    <n v="29.809999000000001"/>
    <n v="29.17"/>
    <x v="3114"/>
    <n v="23.954281000000002"/>
    <n v="56205300"/>
  </r>
  <r>
    <x v="6605"/>
    <n v="29.1"/>
    <n v="29.790001"/>
    <n v="29.059999000000001"/>
    <x v="3384"/>
    <n v="24.347103000000001"/>
    <n v="38787900"/>
  </r>
  <r>
    <x v="6606"/>
    <n v="29.690000999999999"/>
    <n v="29.879999000000002"/>
    <n v="29.5"/>
    <x v="2954"/>
    <n v="24.355295000000002"/>
    <n v="39504900"/>
  </r>
  <r>
    <x v="6607"/>
    <n v="29.35"/>
    <n v="29.4"/>
    <n v="28.639999"/>
    <x v="2520"/>
    <n v="23.823338"/>
    <n v="65171000"/>
  </r>
  <r>
    <x v="6608"/>
    <n v="29.16"/>
    <n v="29.299999"/>
    <n v="28.76"/>
    <x v="2672"/>
    <n v="23.790597999999999"/>
    <n v="52575000"/>
  </r>
  <r>
    <x v="6609"/>
    <n v="29.200001"/>
    <n v="29.360001"/>
    <n v="29.01"/>
    <x v="3385"/>
    <n v="23.782412999999998"/>
    <n v="29507200"/>
  </r>
  <r>
    <x v="6610"/>
    <n v="29.379999000000002"/>
    <n v="29.719999000000001"/>
    <n v="29.219999000000001"/>
    <x v="2228"/>
    <n v="24.191611999999999"/>
    <n v="37758800"/>
  </r>
  <r>
    <x v="6611"/>
    <n v="29.35"/>
    <n v="29.48"/>
    <n v="29.120000999999998"/>
    <x v="3349"/>
    <n v="24.011565999999998"/>
    <n v="41585500"/>
  </r>
  <r>
    <x v="6612"/>
    <n v="29.299999"/>
    <n v="29.42"/>
    <n v="28.940000999999999"/>
    <x v="2680"/>
    <n v="23.888815000000001"/>
    <n v="39134000"/>
  </r>
  <r>
    <x v="6613"/>
    <n v="28.76"/>
    <n v="28.959999"/>
    <n v="28.440000999999999"/>
    <x v="2522"/>
    <n v="23.283207000000001"/>
    <n v="56634300"/>
  </r>
  <r>
    <x v="6614"/>
    <n v="28.620000999999998"/>
    <n v="28.780000999999999"/>
    <n v="28.32"/>
    <x v="2990"/>
    <n v="23.365036"/>
    <n v="47926300"/>
  </r>
  <r>
    <x v="6615"/>
    <n v="28.51"/>
    <n v="28.75"/>
    <n v="28.389999"/>
    <x v="3386"/>
    <n v="23.332301999999999"/>
    <n v="45715400"/>
  </r>
  <r>
    <x v="6616"/>
    <n v="28.879999000000002"/>
    <n v="29.370000999999998"/>
    <n v="28.809999000000001"/>
    <x v="2689"/>
    <n v="24.019753000000001"/>
    <n v="46860500"/>
  </r>
  <r>
    <x v="6617"/>
    <n v="29.639999"/>
    <n v="29.700001"/>
    <n v="29.17"/>
    <x v="2687"/>
    <n v="23.921547"/>
    <n v="37792800"/>
  </r>
  <r>
    <x v="6618"/>
    <n v="29.209999"/>
    <n v="29.68"/>
    <n v="29.049999"/>
    <x v="3316"/>
    <n v="24.265267999999999"/>
    <n v="42551100"/>
  </r>
  <r>
    <x v="6619"/>
    <n v="29.73"/>
    <n v="29.809999000000001"/>
    <n v="28.82"/>
    <x v="2669"/>
    <n v="23.651475999999999"/>
    <n v="46361900"/>
  </r>
  <r>
    <x v="6620"/>
    <n v="29.1"/>
    <n v="29.299999"/>
    <n v="28.84"/>
    <x v="3313"/>
    <n v="23.970645999999999"/>
    <n v="35337900"/>
  </r>
  <r>
    <x v="6621"/>
    <n v="29.219999000000001"/>
    <n v="29.440000999999999"/>
    <n v="29.049999"/>
    <x v="2960"/>
    <n v="23.839703"/>
    <n v="32984600"/>
  </r>
  <r>
    <x v="6622"/>
    <n v="29.33"/>
    <n v="29.459999"/>
    <n v="28.879999000000002"/>
    <x v="3349"/>
    <n v="24.011565999999998"/>
    <n v="39458900"/>
  </r>
  <r>
    <x v="6623"/>
    <n v="29.59"/>
    <n v="30.08"/>
    <n v="29.49"/>
    <x v="2142"/>
    <n v="24.568071"/>
    <n v="62314400"/>
  </r>
  <r>
    <x v="6624"/>
    <n v="29.99"/>
    <n v="30.030000999999999"/>
    <n v="29.709999"/>
    <x v="2141"/>
    <n v="24.420759"/>
    <n v="58679900"/>
  </r>
  <r>
    <x v="6625"/>
    <n v="30.190000999999999"/>
    <n v="31.110001"/>
    <n v="30.049999"/>
    <x v="2273"/>
    <n v="25.124576999999999"/>
    <n v="75725800"/>
  </r>
  <r>
    <x v="6626"/>
    <n v="30.93"/>
    <n v="31.049999"/>
    <n v="30.639999"/>
    <x v="3387"/>
    <n v="25.312806999999999"/>
    <n v="36257100"/>
  </r>
  <r>
    <x v="6627"/>
    <n v="30.959999"/>
    <n v="31.139999"/>
    <n v="30.059999000000001"/>
    <x v="3388"/>
    <n v="24.666270999999998"/>
    <n v="48456600"/>
  </r>
  <r>
    <x v="6628"/>
    <n v="30.299999"/>
    <n v="30.73"/>
    <n v="30.030000999999999"/>
    <x v="2273"/>
    <n v="25.124576999999999"/>
    <n v="45098100"/>
  </r>
  <r>
    <x v="6629"/>
    <n v="30.299999"/>
    <n v="30.32"/>
    <n v="29.620000999999998"/>
    <x v="3022"/>
    <n v="24.445312999999999"/>
    <n v="42217200"/>
  </r>
  <r>
    <x v="6630"/>
    <n v="30"/>
    <n v="30.27"/>
    <n v="29.940000999999999"/>
    <x v="2142"/>
    <n v="24.568071"/>
    <n v="38421300"/>
  </r>
  <r>
    <x v="6631"/>
    <n v="30.190000999999999"/>
    <n v="30.5"/>
    <n v="30.030000999999999"/>
    <x v="3008"/>
    <n v="24.690829999999998"/>
    <n v="33781700"/>
  </r>
  <r>
    <x v="6632"/>
    <n v="29.98"/>
    <n v="30.049999"/>
    <n v="29.42"/>
    <x v="3044"/>
    <n v="24.478045999999999"/>
    <n v="45328400"/>
  </r>
  <r>
    <x v="6633"/>
    <n v="30.450001"/>
    <n v="30.690000999999999"/>
    <n v="30.139999"/>
    <x v="3010"/>
    <n v="25.034559000000002"/>
    <n v="55227200"/>
  </r>
  <r>
    <x v="6634"/>
    <n v="30.620000999999998"/>
    <n v="30.620000999999998"/>
    <n v="30.209999"/>
    <x v="2330"/>
    <n v="25.010007999999999"/>
    <n v="30589100"/>
  </r>
  <r>
    <x v="6635"/>
    <n v="30.23"/>
    <n v="30.76"/>
    <n v="30.17"/>
    <x v="3382"/>
    <n v="25.173679"/>
    <n v="20938100"/>
  </r>
  <r>
    <x v="6636"/>
    <n v="30.59"/>
    <n v="30.780000999999999"/>
    <n v="30.379999000000002"/>
    <x v="2273"/>
    <n v="25.124576999999999"/>
    <n v="28801900"/>
  </r>
  <r>
    <x v="6637"/>
    <n v="30.610001"/>
    <n v="30.700001"/>
    <n v="29.950001"/>
    <x v="2367"/>
    <n v="24.707198999999999"/>
    <n v="38294800"/>
  </r>
  <r>
    <x v="6638"/>
    <n v="30.120000999999998"/>
    <n v="30.23"/>
    <n v="29.780000999999999"/>
    <x v="3031"/>
    <n v="24.551705999999999"/>
    <n v="30680800"/>
  </r>
  <r>
    <x v="6639"/>
    <n v="30.08"/>
    <n v="30.219999000000001"/>
    <n v="29.51"/>
    <x v="3024"/>
    <n v="24.338923999999999"/>
    <n v="37534100"/>
  </r>
  <r>
    <x v="6640"/>
    <n v="29.709999"/>
    <n v="29.74"/>
    <n v="29.110001"/>
    <x v="3029"/>
    <n v="23.978826999999999"/>
    <n v="39184900"/>
  </r>
  <r>
    <x v="6641"/>
    <n v="29.15"/>
    <n v="29.18"/>
    <n v="28.540001"/>
    <x v="2769"/>
    <n v="23.430506000000001"/>
    <n v="63523600"/>
  </r>
  <r>
    <x v="6642"/>
    <n v="28.76"/>
    <n v="29.48"/>
    <n v="28.719999000000001"/>
    <x v="2956"/>
    <n v="24.052482999999999"/>
    <n v="39085000"/>
  </r>
  <r>
    <x v="6643"/>
    <n v="29.48"/>
    <n v="29.530000999999999"/>
    <n v="29.040001"/>
    <x v="2270"/>
    <n v="24.093412000000001"/>
    <n v="27900600"/>
  </r>
  <r>
    <x v="6644"/>
    <n v="29.639999"/>
    <n v="29.860001"/>
    <n v="29.200001"/>
    <x v="2971"/>
    <n v="24.273448999999999"/>
    <n v="33771300"/>
  </r>
  <r>
    <x v="6645"/>
    <n v="29.6"/>
    <n v="30.450001"/>
    <n v="29.459999"/>
    <x v="2976"/>
    <n v="24.919981"/>
    <n v="41090400"/>
  </r>
  <r>
    <x v="6646"/>
    <n v="30.51"/>
    <n v="30.799999"/>
    <n v="30.379999000000002"/>
    <x v="3319"/>
    <n v="25.100031000000001"/>
    <n v="46663200"/>
  </r>
  <r>
    <x v="6647"/>
    <n v="31"/>
    <n v="31.049999"/>
    <n v="30.049999"/>
    <x v="2996"/>
    <n v="24.649913999999999"/>
    <n v="64021700"/>
  </r>
  <r>
    <x v="6648"/>
    <n v="29.57"/>
    <n v="29.58"/>
    <n v="29.01"/>
    <x v="2811"/>
    <n v="23.962463"/>
    <n v="55151900"/>
  </r>
  <r>
    <x v="6649"/>
    <n v="29.24"/>
    <n v="29.360001"/>
    <n v="28.9"/>
    <x v="3389"/>
    <n v="23.856069999999999"/>
    <n v="47723300"/>
  </r>
  <r>
    <x v="6650"/>
    <n v="29.24"/>
    <n v="29.33"/>
    <n v="28.780000999999999"/>
    <x v="2676"/>
    <n v="23.594189"/>
    <n v="45579500"/>
  </r>
  <r>
    <x v="6651"/>
    <n v="29.23"/>
    <n v="29.5"/>
    <n v="29.09"/>
    <x v="3035"/>
    <n v="23.864260000000002"/>
    <n v="45301400"/>
  </r>
  <r>
    <x v="6652"/>
    <n v="29.48"/>
    <n v="29.85"/>
    <n v="29.18"/>
    <x v="2954"/>
    <n v="24.355295000000002"/>
    <n v="44242600"/>
  </r>
  <r>
    <x v="6653"/>
    <n v="29.75"/>
    <n v="29.82"/>
    <n v="29.459999"/>
    <x v="2967"/>
    <n v="24.257079999999998"/>
    <n v="28905000"/>
  </r>
  <r>
    <x v="6654"/>
    <n v="29.48"/>
    <n v="29.709999"/>
    <n v="29.33"/>
    <x v="2950"/>
    <n v="24.117951999999999"/>
    <n v="37620900"/>
  </r>
  <r>
    <x v="6655"/>
    <n v="29.59"/>
    <n v="29.65"/>
    <n v="29.209999"/>
    <x v="3299"/>
    <n v="24.068859"/>
    <n v="31721800"/>
  </r>
  <r>
    <x v="6656"/>
    <n v="29.209999"/>
    <n v="29.530000999999999"/>
    <n v="28.969999000000001"/>
    <x v="2680"/>
    <n v="23.888815000000001"/>
    <n v="39520500"/>
  </r>
  <r>
    <x v="6657"/>
    <n v="29.530000999999999"/>
    <n v="29.940000999999999"/>
    <n v="29.48"/>
    <x v="3384"/>
    <n v="24.347103000000001"/>
    <n v="35859400"/>
  </r>
  <r>
    <x v="6658"/>
    <n v="30"/>
    <n v="30.110001"/>
    <n v="29.809999000000001"/>
    <x v="2341"/>
    <n v="24.510786"/>
    <n v="27471800"/>
  </r>
  <r>
    <x v="6659"/>
    <n v="30.07"/>
    <n v="30.35"/>
    <n v="29.870000999999998"/>
    <x v="3390"/>
    <n v="24.764493999999999"/>
    <n v="28002900"/>
  </r>
  <r>
    <x v="6660"/>
    <n v="30.209999"/>
    <n v="30.469999000000001"/>
    <n v="30.110001"/>
    <x v="2227"/>
    <n v="24.821774000000001"/>
    <n v="26257600"/>
  </r>
  <r>
    <x v="6661"/>
    <n v="30.389999"/>
    <n v="30.65"/>
    <n v="30.299999"/>
    <x v="1711"/>
    <n v="24.960901"/>
    <n v="24920800"/>
  </r>
  <r>
    <x v="6662"/>
    <n v="30.5"/>
    <n v="30.620000999999998"/>
    <n v="30.25"/>
    <x v="3109"/>
    <n v="24.895422"/>
    <n v="27810300"/>
  </r>
  <r>
    <x v="6663"/>
    <n v="30.35"/>
    <n v="30.459999"/>
    <n v="30.16"/>
    <x v="2226"/>
    <n v="24.870874000000001"/>
    <n v="23049100"/>
  </r>
  <r>
    <x v="6664"/>
    <n v="30.299999"/>
    <n v="30.389999"/>
    <n v="30.01"/>
    <x v="3323"/>
    <n v="24.821445000000001"/>
    <n v="34551400"/>
  </r>
  <r>
    <x v="6665"/>
    <n v="30.110001"/>
    <n v="30.280000999999999"/>
    <n v="30.02"/>
    <x v="2332"/>
    <n v="24.879111999999999"/>
    <n v="24351000"/>
  </r>
  <r>
    <x v="6666"/>
    <n v="30.360001"/>
    <n v="30.940000999999999"/>
    <n v="30.26"/>
    <x v="3001"/>
    <n v="25.356926000000001"/>
    <n v="35787200"/>
  </r>
  <r>
    <x v="6667"/>
    <n v="30.92"/>
    <n v="30.92"/>
    <n v="30.59"/>
    <x v="3004"/>
    <n v="25.455781999999999"/>
    <n v="32589900"/>
  </r>
  <r>
    <x v="6668"/>
    <n v="30.82"/>
    <n v="30.85"/>
    <n v="30.58"/>
    <x v="2145"/>
    <n v="25.323972999999999"/>
    <n v="23737700"/>
  </r>
  <r>
    <x v="6669"/>
    <n v="30.76"/>
    <n v="30.959999"/>
    <n v="30.610001"/>
    <x v="3028"/>
    <n v="25.373405000000002"/>
    <n v="28822700"/>
  </r>
  <r>
    <x v="6670"/>
    <n v="30.59"/>
    <n v="30.76"/>
    <n v="30.469999000000001"/>
    <x v="3322"/>
    <n v="25.159210000000002"/>
    <n v="33437400"/>
  </r>
  <r>
    <x v="6671"/>
    <n v="30.389999"/>
    <n v="30.4"/>
    <n v="30.08"/>
    <x v="3390"/>
    <n v="24.928550999999999"/>
    <n v="28355600"/>
  </r>
  <r>
    <x v="6672"/>
    <n v="30.25"/>
    <n v="30.629999000000002"/>
    <n v="30.18"/>
    <x v="2330"/>
    <n v="25.175689999999999"/>
    <n v="22943300"/>
  </r>
  <r>
    <x v="6673"/>
    <n v="30.93"/>
    <n v="30.959999"/>
    <n v="30.59"/>
    <x v="3007"/>
    <n v="25.282782000000001"/>
    <n v="34691100"/>
  </r>
  <r>
    <x v="6674"/>
    <n v="30.700001"/>
    <n v="30.799999"/>
    <n v="30.52"/>
    <x v="3391"/>
    <n v="25.233353000000001"/>
    <n v="23947900"/>
  </r>
  <r>
    <x v="6675"/>
    <n v="30.65"/>
    <n v="30.75"/>
    <n v="30.440000999999999"/>
    <x v="3381"/>
    <n v="25.249829999999999"/>
    <n v="23346800"/>
  </r>
  <r>
    <x v="6676"/>
    <n v="30.530000999999999"/>
    <n v="30.610001"/>
    <n v="30.219999000000001"/>
    <x v="3046"/>
    <n v="24.977974"/>
    <n v="23982100"/>
  </r>
  <r>
    <x v="6677"/>
    <n v="30.6"/>
    <n v="30.959999"/>
    <n v="30.379999000000002"/>
    <x v="3301"/>
    <n v="25.389873999999999"/>
    <n v="36590100"/>
  </r>
  <r>
    <x v="6678"/>
    <n v="30.450001"/>
    <n v="30.66"/>
    <n v="30.15"/>
    <x v="2226"/>
    <n v="25.035637000000001"/>
    <n v="48556700"/>
  </r>
  <r>
    <x v="6679"/>
    <n v="30.219999000000001"/>
    <n v="30.530000999999999"/>
    <n v="30.209999"/>
    <x v="2226"/>
    <n v="25.035637000000001"/>
    <n v="33650000"/>
  </r>
  <r>
    <x v="6680"/>
    <n v="30.5"/>
    <n v="31.360001"/>
    <n v="30.459999"/>
    <x v="2225"/>
    <n v="25.826491999999998"/>
    <n v="48371700"/>
  </r>
  <r>
    <x v="6681"/>
    <n v="31.040001"/>
    <n v="31.07"/>
    <n v="30.73"/>
    <x v="3305"/>
    <n v="25.496974999999999"/>
    <n v="42649100"/>
  </r>
  <r>
    <x v="6682"/>
    <n v="30.83"/>
    <n v="30.9"/>
    <n v="30.51"/>
    <x v="2975"/>
    <n v="25.307499"/>
    <n v="40524000"/>
  </r>
  <r>
    <x v="6683"/>
    <n v="30.690000999999999"/>
    <n v="30.91"/>
    <n v="30.610001"/>
    <x v="3009"/>
    <n v="25.365164"/>
    <n v="25191800"/>
  </r>
  <r>
    <x v="6684"/>
    <n v="30.940000999999999"/>
    <n v="31.18"/>
    <n v="30.73"/>
    <x v="3001"/>
    <n v="25.356926000000001"/>
    <n v="32775800"/>
  </r>
  <r>
    <x v="6685"/>
    <n v="30.889999"/>
    <n v="31.18"/>
    <n v="30.4"/>
    <x v="2224"/>
    <n v="25.488734999999998"/>
    <n v="45047300"/>
  </r>
  <r>
    <x v="6686"/>
    <n v="31.01"/>
    <n v="31.25"/>
    <n v="30.809999000000001"/>
    <x v="2972"/>
    <n v="25.711162999999999"/>
    <n v="51422800"/>
  </r>
  <r>
    <x v="6687"/>
    <n v="31.190000999999999"/>
    <n v="31.26"/>
    <n v="31.040001"/>
    <x v="2972"/>
    <n v="25.711162999999999"/>
    <n v="36488500"/>
  </r>
  <r>
    <x v="6688"/>
    <n v="31.1"/>
    <n v="31.209999"/>
    <n v="31.030000999999999"/>
    <x v="3392"/>
    <n v="25.686449"/>
    <n v="34542700"/>
  </r>
  <r>
    <x v="6689"/>
    <n v="31.09"/>
    <n v="31.190000999999999"/>
    <n v="31.040001"/>
    <x v="2356"/>
    <n v="25.579353000000001"/>
    <n v="48871900"/>
  </r>
  <r>
    <x v="6690"/>
    <n v="30.950001"/>
    <n v="31.48"/>
    <n v="30.91"/>
    <x v="3111"/>
    <n v="25.908884"/>
    <n v="45543000"/>
  </r>
  <r>
    <x v="6691"/>
    <n v="31.43"/>
    <n v="31.610001"/>
    <n v="31.09"/>
    <x v="3027"/>
    <n v="25.694693000000001"/>
    <n v="102348900"/>
  </r>
  <r>
    <x v="6692"/>
    <n v="31"/>
    <n v="31.07"/>
    <n v="30.639999"/>
    <x v="3001"/>
    <n v="25.356926000000001"/>
    <n v="46825900"/>
  </r>
  <r>
    <x v="6693"/>
    <n v="30.950001"/>
    <n v="31"/>
    <n v="30.360001"/>
    <x v="2226"/>
    <n v="25.035637000000001"/>
    <n v="54266400"/>
  </r>
  <r>
    <x v="6694"/>
    <n v="30.280000999999999"/>
    <n v="30.6"/>
    <n v="30.040001"/>
    <x v="3008"/>
    <n v="24.854403000000001"/>
    <n v="54672000"/>
  </r>
  <r>
    <x v="6695"/>
    <n v="30.17"/>
    <n v="30.4"/>
    <n v="29.889999"/>
    <x v="3393"/>
    <n v="24.846159"/>
    <n v="47129900"/>
  </r>
  <r>
    <x v="6696"/>
    <n v="30.18"/>
    <n v="30.26"/>
    <n v="29.74"/>
    <x v="2954"/>
    <n v="24.516638"/>
    <n v="54229300"/>
  </r>
  <r>
    <x v="6697"/>
    <n v="29.809999000000001"/>
    <n v="29.98"/>
    <n v="29.42"/>
    <x v="3020"/>
    <n v="24.294212000000002"/>
    <n v="54042700"/>
  </r>
  <r>
    <x v="6698"/>
    <n v="29.68"/>
    <n v="29.889999"/>
    <n v="29.5"/>
    <x v="2971"/>
    <n v="24.434252000000001"/>
    <n v="43338900"/>
  </r>
  <r>
    <x v="6699"/>
    <n v="29.75"/>
    <n v="29.99"/>
    <n v="29.67"/>
    <x v="2968"/>
    <n v="24.599018000000001"/>
    <n v="46655900"/>
  </r>
  <r>
    <x v="6700"/>
    <n v="29.969999000000001"/>
    <n v="30.030000999999999"/>
    <n v="29.57"/>
    <x v="3025"/>
    <n v="24.739073000000001"/>
    <n v="43634900"/>
  </r>
  <r>
    <x v="6701"/>
    <n v="30.23"/>
    <n v="30.25"/>
    <n v="29.74"/>
    <x v="3013"/>
    <n v="24.590775000000001"/>
    <n v="41133900"/>
  </r>
  <r>
    <x v="6702"/>
    <n v="29.639999"/>
    <n v="29.92"/>
    <n v="29.549999"/>
    <x v="3115"/>
    <n v="24.533113"/>
    <n v="29752000"/>
  </r>
  <r>
    <x v="6703"/>
    <n v="29.68"/>
    <n v="29.74"/>
    <n v="29.18"/>
    <x v="2811"/>
    <n v="24.121206000000001"/>
    <n v="45121100"/>
  </r>
  <r>
    <x v="6704"/>
    <n v="29.15"/>
    <n v="29.309999000000001"/>
    <n v="28.950001"/>
    <x v="2946"/>
    <n v="23.874065000000002"/>
    <n v="47227100"/>
  </r>
  <r>
    <x v="6705"/>
    <n v="29.219999000000001"/>
    <n v="29.25"/>
    <n v="28.870000999999998"/>
    <x v="2263"/>
    <n v="23.849350000000001"/>
    <n v="41488500"/>
  </r>
  <r>
    <x v="6706"/>
    <n v="28.969999000000001"/>
    <n v="29.32"/>
    <n v="28.799999"/>
    <x v="3394"/>
    <n v="24.055306999999999"/>
    <n v="46464700"/>
  </r>
  <r>
    <x v="6707"/>
    <n v="29.370000999999998"/>
    <n v="29.719999000000001"/>
    <n v="29.25"/>
    <x v="2982"/>
    <n v="24.310683999999998"/>
    <n v="42440200"/>
  </r>
  <r>
    <x v="6708"/>
    <n v="29.450001"/>
    <n v="29.74"/>
    <n v="29.32"/>
    <x v="3020"/>
    <n v="24.294212000000002"/>
    <n v="47739400"/>
  </r>
  <r>
    <x v="6709"/>
    <n v="29.299999"/>
    <n v="29.639999"/>
    <n v="29.09"/>
    <x v="3314"/>
    <n v="24.376594999999998"/>
    <n v="44206100"/>
  </r>
  <r>
    <x v="6710"/>
    <n v="29.65"/>
    <n v="29.73"/>
    <n v="29.26"/>
    <x v="2125"/>
    <n v="24.302444000000001"/>
    <n v="59238500"/>
  </r>
  <r>
    <x v="6711"/>
    <n v="29.049999"/>
    <n v="29.08"/>
    <n v="28.5"/>
    <x v="2368"/>
    <n v="23.593966999999999"/>
    <n v="90470800"/>
  </r>
  <r>
    <x v="6712"/>
    <n v="28.73"/>
    <n v="28.83"/>
    <n v="27.83"/>
    <x v="2884"/>
    <n v="23.06673"/>
    <n v="83374000"/>
  </r>
  <r>
    <x v="6713"/>
    <n v="27.77"/>
    <n v="28.200001"/>
    <n v="27.76"/>
    <x v="2235"/>
    <n v="23.107921999999999"/>
    <n v="64414800"/>
  </r>
  <r>
    <x v="6714"/>
    <n v="28.16"/>
    <n v="28.200001"/>
    <n v="27.870000999999998"/>
    <x v="2543"/>
    <n v="22.984348000000001"/>
    <n v="53320400"/>
  </r>
  <r>
    <x v="6715"/>
    <n v="28.190000999999999"/>
    <n v="28.200001"/>
    <n v="27.860001"/>
    <x v="3295"/>
    <n v="22.967870999999999"/>
    <n v="54084300"/>
  </r>
  <r>
    <x v="6716"/>
    <n v="27.860001"/>
    <n v="28.34"/>
    <n v="27.84"/>
    <x v="2714"/>
    <n v="23.239726999999998"/>
    <n v="57790000"/>
  </r>
  <r>
    <x v="6717"/>
    <n v="28.549999"/>
    <n v="28.879999000000002"/>
    <n v="28.5"/>
    <x v="2993"/>
    <n v="23.511590999999999"/>
    <n v="69464100"/>
  </r>
  <r>
    <x v="6718"/>
    <n v="28.84"/>
    <n v="29.559999000000001"/>
    <n v="28.82"/>
    <x v="3021"/>
    <n v="24.318916000000002"/>
    <n v="72047900"/>
  </r>
  <r>
    <x v="6719"/>
    <n v="29.59"/>
    <n v="29.77"/>
    <n v="29.33"/>
    <x v="2125"/>
    <n v="24.302444000000001"/>
    <n v="57131600"/>
  </r>
  <r>
    <x v="6720"/>
    <n v="29.620000999999998"/>
    <n v="29.74"/>
    <n v="29.33"/>
    <x v="3296"/>
    <n v="24.409541999999998"/>
    <n v="38070800"/>
  </r>
  <r>
    <x v="6721"/>
    <n v="29.82"/>
    <n v="30.200001"/>
    <n v="29.610001"/>
    <x v="2968"/>
    <n v="24.599018000000001"/>
    <n v="43401500"/>
  </r>
  <r>
    <x v="6722"/>
    <n v="29.530000999999999"/>
    <n v="29.83"/>
    <n v="29.049999"/>
    <x v="2679"/>
    <n v="23.956451000000001"/>
    <n v="57871800"/>
  </r>
  <r>
    <x v="6723"/>
    <n v="29.120000999999998"/>
    <n v="29.370000999999998"/>
    <n v="28.799999"/>
    <x v="2943"/>
    <n v="23.734024000000002"/>
    <n v="49841800"/>
  </r>
  <r>
    <x v="6724"/>
    <n v="28.879999000000002"/>
    <n v="29.190000999999999"/>
    <n v="28.809999000000001"/>
    <x v="2676"/>
    <n v="23.750492000000001"/>
    <n v="43291200"/>
  </r>
  <r>
    <x v="6725"/>
    <n v="28.940000999999999"/>
    <n v="29.01"/>
    <n v="28.209999"/>
    <x v="2253"/>
    <n v="23.247962999999999"/>
    <n v="61112300"/>
  </r>
  <r>
    <x v="6726"/>
    <n v="27.02"/>
    <n v="27.299999"/>
    <n v="26.75"/>
    <x v="2790"/>
    <n v="22.500444000000002"/>
    <n v="131689200"/>
  </r>
  <r>
    <x v="6727"/>
    <n v="27.24"/>
    <n v="27.290001"/>
    <n v="26.799999"/>
    <x v="2825"/>
    <n v="22.292801000000001"/>
    <n v="76086100"/>
  </r>
  <r>
    <x v="6728"/>
    <n v="26.879999000000002"/>
    <n v="26.969999000000001"/>
    <n v="26.629999000000002"/>
    <x v="2876"/>
    <n v="22.143287999999998"/>
    <n v="50955600"/>
  </r>
  <r>
    <x v="6729"/>
    <n v="26.67"/>
    <n v="26.700001"/>
    <n v="26.34"/>
    <x v="2535"/>
    <n v="22.027016"/>
    <n v="64083300"/>
  </r>
  <r>
    <x v="6730"/>
    <n v="26.799999"/>
    <n v="26.799999"/>
    <n v="26.469999000000001"/>
    <x v="2829"/>
    <n v="22.201433000000002"/>
    <n v="57179300"/>
  </r>
  <r>
    <x v="6731"/>
    <n v="26.76"/>
    <n v="26.799999"/>
    <n v="26.459999"/>
    <x v="3294"/>
    <n v="22.184819999999998"/>
    <n v="47070400"/>
  </r>
  <r>
    <x v="6732"/>
    <n v="26.709999"/>
    <n v="27.17"/>
    <n v="26.67"/>
    <x v="2730"/>
    <n v="22.384156999999998"/>
    <n v="66360300"/>
  </r>
  <r>
    <x v="6733"/>
    <n v="27.23"/>
    <n v="27.77"/>
    <n v="27.200001"/>
    <x v="2238"/>
    <n v="23.007100999999999"/>
    <n v="57845700"/>
  </r>
  <r>
    <x v="6734"/>
    <n v="27.540001"/>
    <n v="27.58"/>
    <n v="27.17"/>
    <x v="2792"/>
    <n v="22.749624000000001"/>
    <n v="85198700"/>
  </r>
  <r>
    <x v="6735"/>
    <n v="27.360001"/>
    <n v="27.379999000000002"/>
    <n v="27.040001"/>
    <x v="2424"/>
    <n v="22.492132000000002"/>
    <n v="45018600"/>
  </r>
  <r>
    <x v="6736"/>
    <n v="27.01"/>
    <n v="27.389999"/>
    <n v="26.77"/>
    <x v="2708"/>
    <n v="22.724705"/>
    <n v="53018400"/>
  </r>
  <r>
    <x v="6737"/>
    <n v="27.110001"/>
    <n v="27.360001"/>
    <n v="26.860001"/>
    <x v="2730"/>
    <n v="22.384156999999998"/>
    <n v="69551400"/>
  </r>
  <r>
    <x v="6738"/>
    <n v="27.049999"/>
    <n v="27.129999000000002"/>
    <n v="26.49"/>
    <x v="2659"/>
    <n v="22.110071000000001"/>
    <n v="83690200"/>
  </r>
  <r>
    <x v="6739"/>
    <n v="26.780000999999999"/>
    <n v="26.82"/>
    <n v="26.4"/>
    <x v="2761"/>
    <n v="21.952261"/>
    <n v="53173800"/>
  </r>
  <r>
    <x v="6740"/>
    <n v="26.5"/>
    <n v="26.629999000000002"/>
    <n v="26.34"/>
    <x v="2610"/>
    <n v="21.902428"/>
    <n v="49777500"/>
  </r>
  <r>
    <x v="6741"/>
    <n v="26.379999000000002"/>
    <n v="26.93"/>
    <n v="26.26"/>
    <x v="2827"/>
    <n v="22.151599999999998"/>
    <n v="68283800"/>
  </r>
  <r>
    <x v="6742"/>
    <n v="26.809999000000001"/>
    <n v="26.98"/>
    <n v="26.610001"/>
    <x v="2829"/>
    <n v="22.201433000000002"/>
    <n v="39182300"/>
  </r>
  <r>
    <x v="6743"/>
    <n v="26.82"/>
    <n v="26.82"/>
    <n v="26.370000999999998"/>
    <x v="2433"/>
    <n v="21.977174999999999"/>
    <n v="46162100"/>
  </r>
  <r>
    <x v="6744"/>
    <n v="26.559999000000001"/>
    <n v="26.969999000000001"/>
    <n v="26.52"/>
    <x v="2886"/>
    <n v="22.375858000000001"/>
    <n v="47031100"/>
  </r>
  <r>
    <x v="6745"/>
    <n v="27.049999"/>
    <n v="27.49"/>
    <n v="27.049999"/>
    <x v="2762"/>
    <n v="22.691479000000001"/>
    <n v="52282800"/>
  </r>
  <r>
    <x v="6746"/>
    <n v="27.530000999999999"/>
    <n v="27.620000999999998"/>
    <n v="27.08"/>
    <x v="2534"/>
    <n v="22.625038"/>
    <n v="43966300"/>
  </r>
  <r>
    <x v="6747"/>
    <n v="27.32"/>
    <n v="27.52"/>
    <n v="26.950001"/>
    <x v="2417"/>
    <n v="22.517052"/>
    <n v="45080100"/>
  </r>
  <r>
    <x v="6748"/>
    <n v="27.110001"/>
    <n v="27.129999000000002"/>
    <n v="26.700001"/>
    <x v="2819"/>
    <n v="22.267879000000001"/>
    <n v="42077500"/>
  </r>
  <r>
    <x v="6749"/>
    <n v="26.790001"/>
    <n v="27.219999000000001"/>
    <n v="26.68"/>
    <x v="2889"/>
    <n v="22.508752999999999"/>
    <n v="42046100"/>
  </r>
  <r>
    <x v="6750"/>
    <n v="27.25"/>
    <n v="27.629999000000002"/>
    <n v="27.139999"/>
    <x v="2888"/>
    <n v="22.890820000000001"/>
    <n v="50486900"/>
  </r>
  <r>
    <x v="6751"/>
    <n v="27.690000999999999"/>
    <n v="27.73"/>
    <n v="27.25"/>
    <x v="2641"/>
    <n v="22.683167999999998"/>
    <n v="53519900"/>
  </r>
  <r>
    <x v="6752"/>
    <n v="27.360001"/>
    <n v="27.68"/>
    <n v="27.15"/>
    <x v="2513"/>
    <n v="22.990486000000001"/>
    <n v="52607300"/>
  </r>
  <r>
    <x v="6753"/>
    <n v="27.450001"/>
    <n v="27.49"/>
    <n v="27"/>
    <x v="2712"/>
    <n v="22.799446"/>
    <n v="98776500"/>
  </r>
  <r>
    <x v="6754"/>
    <n v="27.200001"/>
    <n v="27.25"/>
    <n v="27"/>
    <x v="2706"/>
    <n v="22.475529000000002"/>
    <n v="20842400"/>
  </r>
  <r>
    <x v="6755"/>
    <n v="27.030000999999999"/>
    <n v="27.200001"/>
    <n v="26.700001"/>
    <x v="2540"/>
    <n v="22.309411999999998"/>
    <n v="31631100"/>
  </r>
  <r>
    <x v="6756"/>
    <n v="26.889999"/>
    <n v="27.09"/>
    <n v="26.57"/>
    <x v="2727"/>
    <n v="22.392465999999999"/>
    <n v="39394000"/>
  </r>
  <r>
    <x v="6757"/>
    <n v="26.709999"/>
    <n v="26.9"/>
    <n v="26.549999"/>
    <x v="3339"/>
    <n v="22.051935"/>
    <n v="28239900"/>
  </r>
  <r>
    <x v="6758"/>
    <n v="26.59"/>
    <n v="26.77"/>
    <n v="26.370000999999998"/>
    <x v="3294"/>
    <n v="22.184819999999998"/>
    <n v="42749500"/>
  </r>
  <r>
    <x v="6759"/>
    <n v="27.25"/>
    <n v="27.73"/>
    <n v="27.15"/>
    <x v="2793"/>
    <n v="22.940653000000001"/>
    <n v="52899300"/>
  </r>
  <r>
    <x v="6760"/>
    <n v="27.629999000000002"/>
    <n v="27.65"/>
    <n v="27.16"/>
    <x v="2795"/>
    <n v="22.633330999999998"/>
    <n v="48294400"/>
  </r>
  <r>
    <x v="6761"/>
    <n v="27.27"/>
    <n v="27.34"/>
    <n v="26.73"/>
    <x v="2692"/>
    <n v="22.209745000000002"/>
    <n v="52521100"/>
  </r>
  <r>
    <x v="6762"/>
    <n v="26.77"/>
    <n v="26.879999000000002"/>
    <n v="26.639999"/>
    <x v="2645"/>
    <n v="22.168215"/>
    <n v="37110400"/>
  </r>
  <r>
    <x v="6763"/>
    <n v="26.75"/>
    <n v="26.790001"/>
    <n v="26.459999"/>
    <x v="3339"/>
    <n v="22.051935"/>
    <n v="44703100"/>
  </r>
  <r>
    <x v="6764"/>
    <n v="26.719999000000001"/>
    <n v="26.75"/>
    <n v="26.559999000000001"/>
    <x v="2733"/>
    <n v="22.176507999999998"/>
    <n v="49047900"/>
  </r>
  <r>
    <x v="6765"/>
    <n v="26.65"/>
    <n v="26.98"/>
    <n v="26.290001"/>
    <x v="2433"/>
    <n v="21.977174999999999"/>
    <n v="71431300"/>
  </r>
  <r>
    <x v="6766"/>
    <n v="26.49"/>
    <n v="26.93"/>
    <n v="26.280000999999999"/>
    <x v="2881"/>
    <n v="22.284493999999999"/>
    <n v="55512100"/>
  </r>
  <r>
    <x v="6767"/>
    <n v="26.9"/>
    <n v="27.08"/>
    <n v="26.76"/>
    <x v="2646"/>
    <n v="22.334334999999999"/>
    <n v="48324400"/>
  </r>
  <r>
    <x v="6768"/>
    <n v="26.83"/>
    <n v="27.290001"/>
    <n v="26.83"/>
    <x v="2710"/>
    <n v="22.600109"/>
    <n v="48244500"/>
  </r>
  <r>
    <x v="6769"/>
    <n v="27.15"/>
    <n v="27.23"/>
    <n v="27.01"/>
    <x v="2707"/>
    <n v="22.458915999999999"/>
    <n v="41077400"/>
  </r>
  <r>
    <x v="6770"/>
    <n v="27.190000999999999"/>
    <n v="27.469999000000001"/>
    <n v="27.059999000000001"/>
    <x v="2795"/>
    <n v="22.633330999999998"/>
    <n v="51685900"/>
  </r>
  <r>
    <x v="6771"/>
    <n v="27.1"/>
    <n v="27.290001"/>
    <n v="27.040001"/>
    <x v="2795"/>
    <n v="22.633330999999998"/>
    <n v="52167700"/>
  </r>
  <r>
    <x v="6772"/>
    <n v="27.299999"/>
    <n v="27.450001"/>
    <n v="27"/>
    <x v="2709"/>
    <n v="22.550280000000001"/>
    <n v="58650600"/>
  </r>
  <r>
    <x v="6773"/>
    <n v="27.200001"/>
    <n v="27.639999"/>
    <n v="27.200001"/>
    <x v="2989"/>
    <n v="22.932345999999999"/>
    <n v="50387700"/>
  </r>
  <r>
    <x v="6774"/>
    <n v="27.700001"/>
    <n v="28.07"/>
    <n v="27.469999000000001"/>
    <x v="2807"/>
    <n v="22.948958999999999"/>
    <n v="101739300"/>
  </r>
  <r>
    <x v="6775"/>
    <n v="27.58"/>
    <n v="28.23"/>
    <n v="27.389999"/>
    <x v="3295"/>
    <n v="23.156604999999999"/>
    <n v="81847700"/>
  </r>
  <r>
    <x v="6776"/>
    <n v="28.01"/>
    <n v="28.23"/>
    <n v="27.76"/>
    <x v="2723"/>
    <n v="23.181522000000001"/>
    <n v="56056500"/>
  </r>
  <r>
    <x v="6777"/>
    <n v="27.82"/>
    <n v="28.129999000000002"/>
    <n v="27.6"/>
    <x v="2237"/>
    <n v="23.264576000000002"/>
    <n v="49242600"/>
  </r>
  <r>
    <x v="6778"/>
    <n v="28.01"/>
    <n v="28.190000999999999"/>
    <n v="27.76"/>
    <x v="2878"/>
    <n v="23.131689000000001"/>
    <n v="43580500"/>
  </r>
  <r>
    <x v="6779"/>
    <n v="27.790001"/>
    <n v="27.969999000000001"/>
    <n v="27.4"/>
    <x v="2712"/>
    <n v="22.799446"/>
    <n v="50530000"/>
  </r>
  <r>
    <x v="6780"/>
    <n v="27.67"/>
    <n v="28.049999"/>
    <n v="27.549999"/>
    <x v="3033"/>
    <n v="23.198129999999999"/>
    <n v="55565900"/>
  </r>
  <r>
    <x v="6781"/>
    <n v="27.870000999999998"/>
    <n v="28.02"/>
    <n v="27.42"/>
    <x v="2397"/>
    <n v="22.791153000000001"/>
    <n v="50540000"/>
  </r>
  <r>
    <x v="6782"/>
    <n v="27.620000999999998"/>
    <n v="27.66"/>
    <n v="27.360001"/>
    <x v="1691"/>
    <n v="22.840986000000001"/>
    <n v="35410400"/>
  </r>
  <r>
    <x v="6783"/>
    <n v="27.379999000000002"/>
    <n v="27.540001"/>
    <n v="27.25"/>
    <x v="3123"/>
    <n v="22.708093999999999"/>
    <n v="41889600"/>
  </r>
  <r>
    <x v="6784"/>
    <n v="27.35"/>
    <n v="27.389999"/>
    <n v="27.1"/>
    <x v="2256"/>
    <n v="22.658256999999999"/>
    <n v="38028300"/>
  </r>
  <r>
    <x v="6785"/>
    <n v="27.35"/>
    <n v="27.709999"/>
    <n v="27.309999000000001"/>
    <x v="2510"/>
    <n v="22.882511000000001"/>
    <n v="33318500"/>
  </r>
  <r>
    <x v="6786"/>
    <n v="27.65"/>
    <n v="27.92"/>
    <n v="27.5"/>
    <x v="2772"/>
    <n v="23.139994000000002"/>
    <n v="32247700"/>
  </r>
  <r>
    <x v="6787"/>
    <n v="27.879999000000002"/>
    <n v="28"/>
    <n v="27.75"/>
    <x v="3295"/>
    <n v="23.156604999999999"/>
    <n v="35990900"/>
  </r>
  <r>
    <x v="6788"/>
    <n v="27.93"/>
    <n v="28.110001"/>
    <n v="27.879999000000002"/>
    <x v="2780"/>
    <n v="23.281191"/>
    <n v="41715600"/>
  </r>
  <r>
    <x v="6789"/>
    <n v="27.92"/>
    <n v="28.059999000000001"/>
    <n v="27.870000999999998"/>
    <x v="2885"/>
    <n v="23.289494999999999"/>
    <n v="32663200"/>
  </r>
  <r>
    <x v="6790"/>
    <n v="28.040001"/>
    <n v="28.16"/>
    <n v="27.879999000000002"/>
    <x v="2237"/>
    <n v="23.264576000000002"/>
    <n v="49650900"/>
  </r>
  <r>
    <x v="6791"/>
    <n v="27.879999000000002"/>
    <n v="28.09"/>
    <n v="27.799999"/>
    <x v="2235"/>
    <n v="23.490694000000001"/>
    <n v="38781400"/>
  </r>
  <r>
    <x v="6792"/>
    <n v="28.129999000000002"/>
    <n v="28.200001"/>
    <n v="27.83"/>
    <x v="2399"/>
    <n v="23.339950999999999"/>
    <n v="44110200"/>
  </r>
  <r>
    <x v="6793"/>
    <n v="27.74"/>
    <n v="27.74"/>
    <n v="27.23"/>
    <x v="2794"/>
    <n v="23.021715"/>
    <n v="49078500"/>
  </r>
  <r>
    <x v="6794"/>
    <n v="27.68"/>
    <n v="27.76"/>
    <n v="27.48"/>
    <x v="2863"/>
    <n v="23.247831000000001"/>
    <n v="31425900"/>
  </r>
  <r>
    <x v="6795"/>
    <n v="27.969999000000001"/>
    <n v="28.049999"/>
    <n v="27.370000999999998"/>
    <x v="2711"/>
    <n v="22.921219000000001"/>
    <n v="48011800"/>
  </r>
  <r>
    <x v="6796"/>
    <n v="27.379999000000002"/>
    <n v="27.6"/>
    <n v="27.34"/>
    <x v="2711"/>
    <n v="22.921219000000001"/>
    <n v="49923300"/>
  </r>
  <r>
    <x v="6797"/>
    <n v="27.42"/>
    <n v="28"/>
    <n v="27.33"/>
    <x v="2718"/>
    <n v="23.289701000000001"/>
    <n v="36394700"/>
  </r>
  <r>
    <x v="6798"/>
    <n v="27.879999000000002"/>
    <n v="27.969999000000001"/>
    <n v="27.74"/>
    <x v="2677"/>
    <n v="23.281327999999998"/>
    <n v="35840200"/>
  </r>
  <r>
    <x v="6799"/>
    <n v="27.719999000000001"/>
    <n v="27.98"/>
    <n v="27.52"/>
    <x v="2777"/>
    <n v="23.406943999999999"/>
    <n v="34849700"/>
  </r>
  <r>
    <x v="6800"/>
    <n v="27.85"/>
    <n v="28.15"/>
    <n v="27.700001"/>
    <x v="2374"/>
    <n v="23.574435999999999"/>
    <n v="38157500"/>
  </r>
  <r>
    <x v="6801"/>
    <n v="28.290001"/>
    <n v="28.540001"/>
    <n v="28.16"/>
    <x v="2763"/>
    <n v="23.741934000000001"/>
    <n v="41432200"/>
  </r>
  <r>
    <x v="6802"/>
    <n v="28.209999"/>
    <n v="28.23"/>
    <n v="27.780000999999999"/>
    <x v="2987"/>
    <n v="23.524193"/>
    <n v="51448500"/>
  </r>
  <r>
    <x v="6803"/>
    <n v="28.110001"/>
    <n v="28.280000999999999"/>
    <n v="28.01"/>
    <x v="2713"/>
    <n v="23.566064999999998"/>
    <n v="29196700"/>
  </r>
  <r>
    <x v="6804"/>
    <n v="28.25"/>
    <n v="28.33"/>
    <n v="27.959999"/>
    <x v="2884"/>
    <n v="23.448822"/>
    <n v="37667800"/>
  </r>
  <r>
    <x v="6805"/>
    <n v="27.940000999999999"/>
    <n v="27.969999000000001"/>
    <n v="27.67"/>
    <x v="2399"/>
    <n v="23.339950999999999"/>
    <n v="36627500"/>
  </r>
  <r>
    <x v="6806"/>
    <n v="27.84"/>
    <n v="27.950001"/>
    <n v="27.639999"/>
    <x v="2723"/>
    <n v="23.373446999999999"/>
    <n v="39255200"/>
  </r>
  <r>
    <x v="6807"/>
    <n v="27.870000999999998"/>
    <n v="28.02"/>
    <n v="27.75"/>
    <x v="2877"/>
    <n v="23.381826"/>
    <n v="29093400"/>
  </r>
  <r>
    <x v="6808"/>
    <n v="28"/>
    <n v="28.16"/>
    <n v="27.93"/>
    <x v="2713"/>
    <n v="23.566064999999998"/>
    <n v="55914800"/>
  </r>
  <r>
    <x v="6809"/>
    <n v="28.030000999999999"/>
    <n v="28.16"/>
    <n v="27.98"/>
    <x v="2885"/>
    <n v="23.482316999999998"/>
    <n v="92710300"/>
  </r>
  <r>
    <x v="6810"/>
    <n v="27.879999000000002"/>
    <n v="28.280000999999999"/>
    <n v="27.809999000000001"/>
    <x v="2719"/>
    <n v="23.532568000000001"/>
    <n v="44809400"/>
  </r>
  <r>
    <x v="6811"/>
    <n v="28.120000999999998"/>
    <n v="28.219999000000001"/>
    <n v="28.030000999999999"/>
    <x v="2804"/>
    <n v="23.599561999999999"/>
    <n v="51901600"/>
  </r>
  <r>
    <x v="6812"/>
    <n v="28.34"/>
    <n v="28.49"/>
    <n v="28.18"/>
    <x v="2778"/>
    <n v="23.716805000000001"/>
    <n v="35447800"/>
  </r>
  <r>
    <x v="6813"/>
    <n v="28.110001"/>
    <n v="28.360001"/>
    <n v="28.049999"/>
    <x v="2992"/>
    <n v="23.540942999999999"/>
    <n v="34233200"/>
  </r>
  <r>
    <x v="6814"/>
    <n v="28.190000999999999"/>
    <n v="28.34"/>
    <n v="28.1"/>
    <x v="1636"/>
    <n v="23.658186000000001"/>
    <n v="28720900"/>
  </r>
  <r>
    <x v="6815"/>
    <n v="28.299999"/>
    <n v="28.35"/>
    <n v="27.959999"/>
    <x v="2258"/>
    <n v="23.582809000000001"/>
    <n v="44154000"/>
  </r>
  <r>
    <x v="6816"/>
    <n v="28.24"/>
    <n v="28.34"/>
    <n v="28.110001"/>
    <x v="2258"/>
    <n v="23.582809000000001"/>
    <n v="27824300"/>
  </r>
  <r>
    <x v="6817"/>
    <n v="28.139999"/>
    <n v="28.450001"/>
    <n v="28.08"/>
    <x v="2667"/>
    <n v="23.758682"/>
    <n v="36047400"/>
  </r>
  <r>
    <x v="6818"/>
    <n v="28.32"/>
    <n v="28.66"/>
    <n v="28.26"/>
    <x v="2372"/>
    <n v="23.959671"/>
    <n v="55453800"/>
  </r>
  <r>
    <x v="6819"/>
    <n v="28.639999"/>
    <n v="28.66"/>
    <n v="28.360001"/>
    <x v="2372"/>
    <n v="23.959671"/>
    <n v="29201100"/>
  </r>
  <r>
    <x v="6820"/>
    <n v="28.59"/>
    <n v="28.85"/>
    <n v="28.52"/>
    <x v="2721"/>
    <n v="24.118780000000001"/>
    <n v="28456500"/>
  </r>
  <r>
    <x v="6821"/>
    <n v="28.75"/>
    <n v="28.950001"/>
    <n v="28.540001"/>
    <x v="2768"/>
    <n v="23.917797"/>
    <n v="35062800"/>
  </r>
  <r>
    <x v="6822"/>
    <n v="28.389999"/>
    <n v="28.610001"/>
    <n v="28.27"/>
    <x v="2381"/>
    <n v="23.95129"/>
    <n v="45263200"/>
  </r>
  <r>
    <x v="6823"/>
    <n v="28.219999000000001"/>
    <n v="28.780000999999999"/>
    <n v="28.110001"/>
    <x v="2805"/>
    <n v="24.035046000000001"/>
    <n v="50927300"/>
  </r>
  <r>
    <x v="6824"/>
    <n v="28.73"/>
    <n v="28.73"/>
    <n v="28.469999000000001"/>
    <x v="3034"/>
    <n v="23.942920999999998"/>
    <n v="34759500"/>
  </r>
  <r>
    <x v="6825"/>
    <n v="28.73"/>
    <n v="29.82"/>
    <n v="28.68"/>
    <x v="2981"/>
    <n v="24.797129000000002"/>
    <n v="77733800"/>
  </r>
  <r>
    <x v="6826"/>
    <n v="29.57"/>
    <n v="30.32"/>
    <n v="29.52"/>
    <x v="3395"/>
    <n v="25.358222999999999"/>
    <n v="71116700"/>
  </r>
  <r>
    <x v="6827"/>
    <n v="29.1"/>
    <n v="29.200001"/>
    <n v="28.73"/>
    <x v="2683"/>
    <n v="24.236028999999998"/>
    <n v="130923200"/>
  </r>
  <r>
    <x v="6828"/>
    <n v="28.85"/>
    <n v="29.02"/>
    <n v="28.66"/>
    <x v="2239"/>
    <n v="24.110409000000001"/>
    <n v="62886300"/>
  </r>
  <r>
    <x v="6829"/>
    <n v="28.65"/>
    <n v="28.98"/>
    <n v="28.51"/>
    <x v="2994"/>
    <n v="24.026655000000002"/>
    <n v="56332900"/>
  </r>
  <r>
    <x v="6830"/>
    <n v="28.9"/>
    <n v="29.139999"/>
    <n v="28.700001"/>
    <x v="3311"/>
    <n v="24.261151999999999"/>
    <n v="52797300"/>
  </r>
  <r>
    <x v="6831"/>
    <n v="28.85"/>
    <n v="29.040001"/>
    <n v="28.6"/>
    <x v="2676"/>
    <n v="24.143915"/>
    <n v="52840700"/>
  </r>
  <r>
    <x v="6832"/>
    <n v="28.950001"/>
    <n v="28.98"/>
    <n v="28.5"/>
    <x v="2239"/>
    <n v="24.110409000000001"/>
    <n v="56906600"/>
  </r>
  <r>
    <x v="6833"/>
    <n v="29.620000999999998"/>
    <n v="30.24"/>
    <n v="29.610001"/>
    <x v="2812"/>
    <n v="24.931124000000001"/>
    <n v="99790700"/>
  </r>
  <r>
    <x v="6834"/>
    <n v="30.299999"/>
    <n v="31.18"/>
    <n v="30.27"/>
    <x v="3006"/>
    <n v="25.818829000000001"/>
    <n v="137904000"/>
  </r>
  <r>
    <x v="6835"/>
    <n v="30.700001"/>
    <n v="30.9"/>
    <n v="30.379999000000002"/>
    <x v="2977"/>
    <n v="25.626208999999999"/>
    <n v="59126900"/>
  </r>
  <r>
    <x v="6836"/>
    <n v="30.620000999999998"/>
    <n v="31.92"/>
    <n v="30.6"/>
    <x v="3380"/>
    <n v="26.597664000000002"/>
    <n v="90946600"/>
  </r>
  <r>
    <x v="6837"/>
    <n v="31.709999"/>
    <n v="32.840000000000003"/>
    <n v="31.540001"/>
    <x v="3370"/>
    <n v="26.748407"/>
    <n v="110700200"/>
  </r>
  <r>
    <x v="6838"/>
    <n v="31.9"/>
    <n v="31.98"/>
    <n v="31.450001"/>
    <x v="3396"/>
    <n v="26.622786999999999"/>
    <n v="47799300"/>
  </r>
  <r>
    <x v="6839"/>
    <n v="31.799999"/>
    <n v="32.68"/>
    <n v="31.77"/>
    <x v="3397"/>
    <n v="27.309501999999998"/>
    <n v="59116400"/>
  </r>
  <r>
    <x v="6840"/>
    <n v="32.560001"/>
    <n v="33.110000999999997"/>
    <n v="32.279998999999997"/>
    <x v="3398"/>
    <n v="27.719851999999999"/>
    <n v="75165200"/>
  </r>
  <r>
    <x v="6841"/>
    <n v="32.93"/>
    <n v="33.080002"/>
    <n v="32.599997999999999"/>
    <x v="3100"/>
    <n v="27.401623000000001"/>
    <n v="54330900"/>
  </r>
  <r>
    <x v="6842"/>
    <n v="32.630001"/>
    <n v="33.169998"/>
    <n v="32.389999000000003"/>
    <x v="2206"/>
    <n v="27.770102000000001"/>
    <n v="46059500"/>
  </r>
  <r>
    <x v="6843"/>
    <n v="33.229999999999997"/>
    <n v="33.520000000000003"/>
    <n v="33.080002"/>
    <x v="3399"/>
    <n v="28.046465000000001"/>
    <n v="46784600"/>
  </r>
  <r>
    <x v="6844"/>
    <n v="33.419998"/>
    <n v="33.909999999999997"/>
    <n v="33.25"/>
    <x v="3400"/>
    <n v="28.264209999999999"/>
    <n v="40978300"/>
  </r>
  <r>
    <x v="6845"/>
    <n v="33.650002000000001"/>
    <n v="33.790000999999997"/>
    <n v="33.240001999999997"/>
    <x v="3401"/>
    <n v="27.895717999999999"/>
    <n v="43078300"/>
  </r>
  <r>
    <x v="6846"/>
    <n v="33.07"/>
    <n v="33.240001999999997"/>
    <n v="32.650002000000001"/>
    <x v="3402"/>
    <n v="27.627737"/>
    <n v="51595700"/>
  </r>
  <r>
    <x v="6847"/>
    <n v="32.849997999999999"/>
    <n v="33"/>
    <n v="32.590000000000003"/>
    <x v="3403"/>
    <n v="27.351374"/>
    <n v="46417800"/>
  </r>
  <r>
    <x v="6848"/>
    <n v="32.669998"/>
    <n v="32.720001000000003"/>
    <n v="32.32"/>
    <x v="3404"/>
    <n v="27.376493"/>
    <n v="36394900"/>
  </r>
  <r>
    <x v="6849"/>
    <n v="32.610000999999997"/>
    <n v="33.07"/>
    <n v="32.549999"/>
    <x v="2195"/>
    <n v="27.661231999999998"/>
    <n v="36027600"/>
  </r>
  <r>
    <x v="6850"/>
    <n v="32.860000999999997"/>
    <n v="33.529998999999997"/>
    <n v="32.799999"/>
    <x v="2297"/>
    <n v="28.276866999999999"/>
    <n v="56870100"/>
  </r>
  <r>
    <x v="6851"/>
    <n v="33.450001"/>
    <n v="33.900002000000001"/>
    <n v="33.43"/>
    <x v="3405"/>
    <n v="28.546731999999999"/>
    <n v="46303900"/>
  </r>
  <r>
    <x v="6852"/>
    <n v="33.639999000000003"/>
    <n v="34.150002000000001"/>
    <n v="33.549999"/>
    <x v="3406"/>
    <n v="28.740691999999999"/>
    <n v="59382900"/>
  </r>
  <r>
    <x v="6853"/>
    <n v="34.130001"/>
    <n v="34.869999"/>
    <n v="34.099997999999999"/>
    <x v="3407"/>
    <n v="29.406931"/>
    <n v="60666700"/>
  </r>
  <r>
    <x v="6854"/>
    <n v="34.729999999999997"/>
    <n v="35.099997999999999"/>
    <n v="34.68"/>
    <x v="3408"/>
    <n v="29.584022999999998"/>
    <n v="54020800"/>
  </r>
  <r>
    <x v="6855"/>
    <n v="35.099997999999999"/>
    <n v="35.270000000000003"/>
    <n v="34.720001000000003"/>
    <x v="2166"/>
    <n v="29.390056999999999"/>
    <n v="48702400"/>
  </r>
  <r>
    <x v="6856"/>
    <n v="34.790000999999997"/>
    <n v="34.840000000000003"/>
    <n v="34.360000999999997"/>
    <x v="3089"/>
    <n v="29.187666"/>
    <n v="66047500"/>
  </r>
  <r>
    <x v="6857"/>
    <n v="34.229999999999997"/>
    <n v="34.549999"/>
    <n v="33.900002000000001"/>
    <x v="3072"/>
    <n v="28.799738000000001"/>
    <n v="51102700"/>
  </r>
  <r>
    <x v="6858"/>
    <n v="33.919998"/>
    <n v="34.279998999999997"/>
    <n v="33.900002000000001"/>
    <x v="3409"/>
    <n v="28.900922999999999"/>
    <n v="33174400"/>
  </r>
  <r>
    <x v="6859"/>
    <n v="34.419998"/>
    <n v="35.18"/>
    <n v="34.409999999999997"/>
    <x v="3410"/>
    <n v="29.533422000000002"/>
    <n v="48212100"/>
  </r>
  <r>
    <x v="6860"/>
    <n v="34.740001999999997"/>
    <n v="35.020000000000003"/>
    <n v="34.57"/>
    <x v="2153"/>
    <n v="29.415358000000001"/>
    <n v="38412200"/>
  </r>
  <r>
    <x v="6861"/>
    <n v="34.849997999999999"/>
    <n v="35.25"/>
    <n v="34.810001"/>
    <x v="3050"/>
    <n v="29.541861000000001"/>
    <n v="51131000"/>
  </r>
  <r>
    <x v="6862"/>
    <n v="34.82"/>
    <n v="35.279998999999997"/>
    <n v="34.790000999999997"/>
    <x v="3411"/>
    <n v="29.432227999999999"/>
    <n v="56165700"/>
  </r>
  <r>
    <x v="6863"/>
    <n v="34.919998"/>
    <n v="35.630001"/>
    <n v="34.830002"/>
    <x v="2201"/>
    <n v="30.014123999999999"/>
    <n v="51252600"/>
  </r>
  <r>
    <x v="6864"/>
    <n v="35.619999"/>
    <n v="35.740001999999997"/>
    <n v="34.770000000000003"/>
    <x v="3412"/>
    <n v="29.508127000000002"/>
    <n v="65529500"/>
  </r>
  <r>
    <x v="6865"/>
    <n v="34.599997999999999"/>
    <n v="34.889999000000003"/>
    <n v="34.43"/>
    <x v="3413"/>
    <n v="29.331023999999999"/>
    <n v="46025100"/>
  </r>
  <r>
    <x v="6866"/>
    <n v="34.840000000000003"/>
    <n v="35.110000999999997"/>
    <n v="34.490001999999997"/>
    <x v="3414"/>
    <n v="29.482824000000001"/>
    <n v="37618500"/>
  </r>
  <r>
    <x v="6867"/>
    <n v="35.25"/>
    <n v="35.779998999999997"/>
    <n v="35.060001"/>
    <x v="2200"/>
    <n v="30.081585"/>
    <n v="40757300"/>
  </r>
  <r>
    <x v="6868"/>
    <n v="35.509998000000003"/>
    <n v="35.650002000000001"/>
    <n v="35.139999000000003"/>
    <x v="3415"/>
    <n v="29.912915999999999"/>
    <n v="35994500"/>
  </r>
  <r>
    <x v="6869"/>
    <n v="35.049999"/>
    <n v="35.18"/>
    <n v="34.68"/>
    <x v="3416"/>
    <n v="29.381626000000001"/>
    <n v="39435900"/>
  </r>
  <r>
    <x v="6870"/>
    <n v="35.139999000000003"/>
    <n v="35.270000000000003"/>
    <n v="34.849997999999999"/>
    <x v="2031"/>
    <n v="29.516566999999998"/>
    <n v="37372700"/>
  </r>
  <r>
    <x v="6871"/>
    <n v="34.990001999999997"/>
    <n v="35.020000000000003"/>
    <n v="34.590000000000003"/>
    <x v="3417"/>
    <n v="29.280428000000001"/>
    <n v="45654900"/>
  </r>
  <r>
    <x v="6872"/>
    <n v="34.549999"/>
    <n v="34.689999"/>
    <n v="34.25"/>
    <x v="3418"/>
    <n v="29.010559000000001"/>
    <n v="53192600"/>
  </r>
  <r>
    <x v="6873"/>
    <n v="34.689999"/>
    <n v="35.159999999999997"/>
    <n v="34.630001"/>
    <x v="2031"/>
    <n v="29.516566999999998"/>
    <n v="49670100"/>
  </r>
  <r>
    <x v="6874"/>
    <n v="34.970001000000003"/>
    <n v="35.169998"/>
    <n v="34.900002000000001"/>
    <x v="3419"/>
    <n v="29.499693000000001"/>
    <n v="28616500"/>
  </r>
  <r>
    <x v="6875"/>
    <n v="34.959999000000003"/>
    <n v="35.090000000000003"/>
    <n v="34.590000000000003"/>
    <x v="2171"/>
    <n v="29.170797"/>
    <n v="30816200"/>
  </r>
  <r>
    <x v="6876"/>
    <n v="34.259998000000003"/>
    <n v="34.330002"/>
    <n v="33.369999"/>
    <x v="3399"/>
    <n v="28.243130000000001"/>
    <n v="54493700"/>
  </r>
  <r>
    <x v="6877"/>
    <n v="33.659999999999997"/>
    <n v="33.729999999999997"/>
    <n v="33.049999"/>
    <x v="2283"/>
    <n v="28.057604000000001"/>
    <n v="85338500"/>
  </r>
  <r>
    <x v="6878"/>
    <n v="32.939999"/>
    <n v="34.200001"/>
    <n v="32.57"/>
    <x v="2300"/>
    <n v="28.437100999999998"/>
    <n v="56109000"/>
  </r>
  <r>
    <x v="6879"/>
    <n v="34.080002"/>
    <n v="34.380001"/>
    <n v="33.459999000000003"/>
    <x v="3420"/>
    <n v="28.394929999999999"/>
    <n v="44073400"/>
  </r>
  <r>
    <x v="6880"/>
    <n v="34.119999"/>
    <n v="34.479999999999997"/>
    <n v="33.889999000000003"/>
    <x v="3421"/>
    <n v="28.968399000000002"/>
    <n v="48665900"/>
  </r>
  <r>
    <x v="6881"/>
    <n v="34.520000000000003"/>
    <n v="34.779998999999997"/>
    <n v="34.5"/>
    <x v="3422"/>
    <n v="29.196096000000001"/>
    <n v="28993100"/>
  </r>
  <r>
    <x v="6882"/>
    <n v="34.380001"/>
    <n v="34.790000999999997"/>
    <n v="34.340000000000003"/>
    <x v="3423"/>
    <n v="29.128632"/>
    <n v="65545500"/>
  </r>
  <r>
    <x v="6883"/>
    <n v="34.75"/>
    <n v="34.990001999999997"/>
    <n v="34.330002"/>
    <x v="2159"/>
    <n v="28.976831000000001"/>
    <n v="31055400"/>
  </r>
  <r>
    <x v="6884"/>
    <n v="34.409999999999997"/>
    <n v="34.439999"/>
    <n v="33.630001"/>
    <x v="3424"/>
    <n v="28.622627000000001"/>
    <n v="37630000"/>
  </r>
  <r>
    <x v="6885"/>
    <n v="33.659999999999997"/>
    <n v="34.369999"/>
    <n v="33.599997999999999"/>
    <x v="2181"/>
    <n v="28.681660000000001"/>
    <n v="15994400"/>
  </r>
  <r>
    <x v="6886"/>
    <n v="34.090000000000003"/>
    <n v="34.240001999999997"/>
    <n v="33.580002"/>
    <x v="3425"/>
    <n v="28.85033"/>
    <n v="26085900"/>
  </r>
  <r>
    <x v="6887"/>
    <n v="34.349997999999999"/>
    <n v="34.590000000000003"/>
    <n v="33.979999999999997"/>
    <x v="3092"/>
    <n v="28.951532"/>
    <n v="32396900"/>
  </r>
  <r>
    <x v="6888"/>
    <n v="34.580002"/>
    <n v="34.599997999999999"/>
    <n v="34.139999000000003"/>
    <x v="3421"/>
    <n v="28.968399000000002"/>
    <n v="25318500"/>
  </r>
  <r>
    <x v="6889"/>
    <n v="34.340000000000003"/>
    <n v="34.810001"/>
    <n v="34.32"/>
    <x v="2158"/>
    <n v="29.263553999999999"/>
    <n v="29658800"/>
  </r>
  <r>
    <x v="6890"/>
    <n v="35"/>
    <n v="35.770000000000003"/>
    <n v="34.900002000000001"/>
    <x v="2155"/>
    <n v="30.098461"/>
    <n v="53638300"/>
  </r>
  <r>
    <x v="6891"/>
    <n v="35.580002"/>
    <n v="35.729999999999997"/>
    <n v="35.279998999999997"/>
    <x v="2200"/>
    <n v="30.081585"/>
    <n v="35501200"/>
  </r>
  <r>
    <x v="6892"/>
    <n v="35.659999999999997"/>
    <n v="36.220001000000003"/>
    <n v="35.580002"/>
    <x v="3426"/>
    <n v="30.503256"/>
    <n v="34142600"/>
  </r>
  <r>
    <x v="6893"/>
    <n v="36.009998000000003"/>
    <n v="36.43"/>
    <n v="35.959999000000003"/>
    <x v="3427"/>
    <n v="30.587591"/>
    <n v="36378500"/>
  </r>
  <r>
    <x v="6894"/>
    <n v="36.340000000000003"/>
    <n v="36.389999000000003"/>
    <n v="35.490001999999997"/>
    <x v="3428"/>
    <n v="30.140630999999999"/>
    <n v="37285100"/>
  </r>
  <r>
    <x v="6895"/>
    <n v="35.720001000000003"/>
    <n v="35.889999000000003"/>
    <n v="35.220001000000003"/>
    <x v="3429"/>
    <n v="29.887619000000001"/>
    <n v="49547100"/>
  </r>
  <r>
    <x v="6896"/>
    <n v="32.400002000000001"/>
    <n v="32.669998"/>
    <n v="31.02"/>
    <x v="2289"/>
    <n v="26.48057"/>
    <n v="248428500"/>
  </r>
  <r>
    <x v="6897"/>
    <n v="31.700001"/>
    <n v="32.009998000000003"/>
    <n v="31.6"/>
    <x v="3361"/>
    <n v="26.995000999999998"/>
    <n v="79040700"/>
  </r>
  <r>
    <x v="6898"/>
    <n v="31.91"/>
    <n v="32.040000999999997"/>
    <n v="31.709999"/>
    <x v="3430"/>
    <n v="26.834764"/>
    <n v="65810400"/>
  </r>
  <r>
    <x v="6899"/>
    <n v="32.040000999999997"/>
    <n v="32.189999"/>
    <n v="31.889999"/>
    <x v="3097"/>
    <n v="26.952832999999998"/>
    <n v="52803100"/>
  </r>
  <r>
    <x v="6900"/>
    <n v="31.620000999999998"/>
    <n v="31.65"/>
    <n v="31.25"/>
    <x v="3303"/>
    <n v="26.472131999999998"/>
    <n v="63213000"/>
  </r>
  <r>
    <x v="6901"/>
    <n v="31.26"/>
    <n v="31.620000999999998"/>
    <n v="31.209999"/>
    <x v="3431"/>
    <n v="26.6661"/>
    <n v="38633600"/>
  </r>
  <r>
    <x v="6902"/>
    <n v="31.469999000000001"/>
    <n v="31.6"/>
    <n v="31.4"/>
    <x v="2350"/>
    <n v="26.598642000000002"/>
    <n v="28870700"/>
  </r>
  <r>
    <x v="6903"/>
    <n v="31.780000999999999"/>
    <n v="32.119999"/>
    <n v="31.549999"/>
    <x v="3432"/>
    <n v="26.860064999999999"/>
    <n v="45799500"/>
  </r>
  <r>
    <x v="6904"/>
    <n v="31.969999000000001"/>
    <n v="32.049999"/>
    <n v="31.709999"/>
    <x v="3360"/>
    <n v="26.851637"/>
    <n v="43898400"/>
  </r>
  <r>
    <x v="6905"/>
    <n v="32.060001"/>
    <n v="32.090000000000003"/>
    <n v="31.6"/>
    <x v="3433"/>
    <n v="26.708275"/>
    <n v="42557900"/>
  </r>
  <r>
    <x v="6906"/>
    <n v="31.690000999999999"/>
    <n v="31.9"/>
    <n v="31.57"/>
    <x v="3434"/>
    <n v="26.893801"/>
    <n v="29199900"/>
  </r>
  <r>
    <x v="6907"/>
    <n v="31.9"/>
    <n v="32"/>
    <n v="31.639999"/>
    <x v="3435"/>
    <n v="26.73357"/>
    <n v="30984000"/>
  </r>
  <r>
    <x v="6908"/>
    <n v="31.549999"/>
    <n v="31.67"/>
    <n v="31.379999000000002"/>
    <x v="3436"/>
    <n v="26.632370000000002"/>
    <n v="36331500"/>
  </r>
  <r>
    <x v="6909"/>
    <n v="31.540001"/>
    <n v="32.099997999999999"/>
    <n v="31.25"/>
    <x v="3437"/>
    <n v="27.037172000000002"/>
    <n v="38078600"/>
  </r>
  <r>
    <x v="6910"/>
    <n v="32.240001999999997"/>
    <n v="33.07"/>
    <n v="32.049999"/>
    <x v="3438"/>
    <n v="27.737128999999999"/>
    <n v="59034400"/>
  </r>
  <r>
    <x v="6911"/>
    <n v="32.770000000000003"/>
    <n v="32.900002000000001"/>
    <n v="32.470001000000003"/>
    <x v="2284"/>
    <n v="27.576903999999999"/>
    <n v="26800700"/>
  </r>
  <r>
    <x v="6912"/>
    <n v="32.459999000000003"/>
    <n v="32.970001000000003"/>
    <n v="32.459999000000003"/>
    <x v="3439"/>
    <n v="27.720265999999999"/>
    <n v="25493700"/>
  </r>
  <r>
    <x v="6913"/>
    <n v="32.509998000000003"/>
    <n v="32.549999"/>
    <n v="32.209999000000003"/>
    <x v="2322"/>
    <n v="27.372064999999999"/>
    <n v="39464100"/>
  </r>
  <r>
    <x v="6914"/>
    <n v="32.139999000000003"/>
    <n v="33.360000999999997"/>
    <n v="31.700001"/>
    <x v="3440"/>
    <n v="27.473972"/>
    <n v="48519600"/>
  </r>
  <r>
    <x v="6915"/>
    <n v="32"/>
    <n v="32.18"/>
    <n v="30.84"/>
    <x v="3396"/>
    <n v="26.998387999999998"/>
    <n v="33338000"/>
  </r>
  <r>
    <x v="6916"/>
    <n v="31.790001"/>
    <n v="31.99"/>
    <n v="31.66"/>
    <x v="3112"/>
    <n v="27.006874"/>
    <n v="32866300"/>
  </r>
  <r>
    <x v="6917"/>
    <n v="31.76"/>
    <n v="31.969999000000001"/>
    <n v="31.379999000000002"/>
    <x v="3303"/>
    <n v="26.658677999999998"/>
    <n v="27902500"/>
  </r>
  <r>
    <x v="6918"/>
    <n v="31.440000999999999"/>
    <n v="31.9"/>
    <n v="31.370000999999998"/>
    <x v="3431"/>
    <n v="26.854012000000001"/>
    <n v="22979600"/>
  </r>
  <r>
    <x v="6919"/>
    <n v="31.610001"/>
    <n v="32.009998000000003"/>
    <n v="31.540001"/>
    <x v="3441"/>
    <n v="26.84552"/>
    <n v="37409100"/>
  </r>
  <r>
    <x v="6920"/>
    <n v="32.189999"/>
    <n v="32.490001999999997"/>
    <n v="32.099997999999999"/>
    <x v="2275"/>
    <n v="27.507943999999998"/>
    <n v="31169900"/>
  </r>
  <r>
    <x v="6921"/>
    <n v="35.169998"/>
    <n v="35.200001"/>
    <n v="34"/>
    <x v="1732"/>
    <n v="29.512239000000001"/>
    <n v="225493800"/>
  </r>
  <r>
    <x v="6922"/>
    <n v="34.400002000000001"/>
    <n v="34.669998"/>
    <n v="34.029998999999997"/>
    <x v="3072"/>
    <n v="29.002672"/>
    <n v="72786800"/>
  </r>
  <r>
    <x v="6923"/>
    <n v="33.520000000000003"/>
    <n v="34.099997999999999"/>
    <n v="33.150002000000001"/>
    <x v="3442"/>
    <n v="28.246811000000001"/>
    <n v="58522300"/>
  </r>
  <r>
    <x v="6924"/>
    <n v="33.389999000000003"/>
    <n v="33.599997999999999"/>
    <n v="33"/>
    <x v="3443"/>
    <n v="28.042992000000002"/>
    <n v="44257400"/>
  </r>
  <r>
    <x v="6925"/>
    <n v="32.93"/>
    <n v="33.599997999999999"/>
    <n v="32.799999"/>
    <x v="3444"/>
    <n v="28.493106999999998"/>
    <n v="45284700"/>
  </r>
  <r>
    <x v="6926"/>
    <n v="33.369999"/>
    <n v="33.479999999999997"/>
    <n v="33.090000000000003"/>
    <x v="3445"/>
    <n v="28.365717"/>
    <n v="42790200"/>
  </r>
  <r>
    <x v="6927"/>
    <n v="31.75"/>
    <n v="32.07"/>
    <n v="31.290001"/>
    <x v="3446"/>
    <n v="27.074821"/>
    <n v="154507000"/>
  </r>
  <r>
    <x v="6928"/>
    <n v="31.389999"/>
    <n v="31.469999000000001"/>
    <n v="31.110001"/>
    <x v="3447"/>
    <n v="26.497316000000001"/>
    <n v="142320600"/>
  </r>
  <r>
    <x v="6929"/>
    <n v="31.1"/>
    <n v="31.440000999999999"/>
    <n v="30.950001"/>
    <x v="3448"/>
    <n v="26.522794999999999"/>
    <n v="71644900"/>
  </r>
  <r>
    <x v="6930"/>
    <n v="31.309999000000001"/>
    <n v="31.389999"/>
    <n v="31.129999000000002"/>
    <x v="3449"/>
    <n v="26.454851000000001"/>
    <n v="75434900"/>
  </r>
  <r>
    <x v="6931"/>
    <n v="31.219999000000001"/>
    <n v="31.790001"/>
    <n v="31.200001"/>
    <x v="3450"/>
    <n v="26.887981"/>
    <n v="49628500"/>
  </r>
  <r>
    <x v="6932"/>
    <n v="31.9"/>
    <n v="32.400002000000001"/>
    <n v="31.790001"/>
    <x v="2275"/>
    <n v="27.507943999999998"/>
    <n v="56881200"/>
  </r>
  <r>
    <x v="6933"/>
    <n v="32.57"/>
    <n v="32.93"/>
    <n v="32.529998999999997"/>
    <x v="3451"/>
    <n v="27.805197"/>
    <n v="39087500"/>
  </r>
  <r>
    <x v="6934"/>
    <n v="32.720001000000003"/>
    <n v="32.779998999999997"/>
    <n v="32.590000000000003"/>
    <x v="3404"/>
    <n v="27.762730000000001"/>
    <n v="32860200"/>
  </r>
  <r>
    <x v="6935"/>
    <n v="32.770000000000003"/>
    <n v="33.07"/>
    <n v="32.509998000000003"/>
    <x v="2195"/>
    <n v="28.051487000000002"/>
    <n v="40899000"/>
  </r>
  <r>
    <x v="6936"/>
    <n v="33.380001"/>
    <n v="33.5"/>
    <n v="32.729999999999997"/>
    <x v="3452"/>
    <n v="27.85615"/>
    <n v="52839700"/>
  </r>
  <r>
    <x v="6937"/>
    <n v="33.419998"/>
    <n v="33.470001000000003"/>
    <n v="32.900002000000001"/>
    <x v="3453"/>
    <n v="27.966555"/>
    <n v="84716500"/>
  </r>
  <r>
    <x v="6938"/>
    <n v="32.990001999999997"/>
    <n v="33.400002000000001"/>
    <n v="32.830002"/>
    <x v="3454"/>
    <n v="28.297772999999999"/>
    <n v="64099900"/>
  </r>
  <r>
    <x v="6939"/>
    <n v="33.479999999999997"/>
    <n v="33.68"/>
    <n v="33.32"/>
    <x v="3455"/>
    <n v="28.56953"/>
    <n v="42026600"/>
  </r>
  <r>
    <x v="6940"/>
    <n v="33.409999999999997"/>
    <n v="33.479999999999997"/>
    <n v="32.689999"/>
    <x v="3456"/>
    <n v="27.847656000000001"/>
    <n v="102904900"/>
  </r>
  <r>
    <x v="6941"/>
    <n v="32.540000999999997"/>
    <n v="32.970001000000003"/>
    <n v="32.5"/>
    <x v="3451"/>
    <n v="27.805197"/>
    <n v="39826100"/>
  </r>
  <r>
    <x v="6942"/>
    <n v="32.869999"/>
    <n v="32.869999"/>
    <n v="32.150002000000001"/>
    <x v="3457"/>
    <n v="27.558907999999999"/>
    <n v="40685000"/>
  </r>
  <r>
    <x v="6943"/>
    <n v="32.490001999999997"/>
    <n v="32.799999"/>
    <n v="32.400002000000001"/>
    <x v="3458"/>
    <n v="27.609860999999999"/>
    <n v="28907500"/>
  </r>
  <r>
    <x v="6944"/>
    <n v="32.639999000000003"/>
    <n v="33"/>
    <n v="32.590000000000003"/>
    <x v="3071"/>
    <n v="27.830674999999999"/>
    <n v="28504000"/>
  </r>
  <r>
    <x v="6945"/>
    <n v="32.880001"/>
    <n v="33.75"/>
    <n v="32.869999"/>
    <x v="2283"/>
    <n v="28.255306000000001"/>
    <n v="55348000"/>
  </r>
  <r>
    <x v="6946"/>
    <n v="33"/>
    <n v="33.310001"/>
    <n v="32.700001"/>
    <x v="3459"/>
    <n v="28.263805000000001"/>
    <n v="39839500"/>
  </r>
  <r>
    <x v="6947"/>
    <n v="33.349997999999999"/>
    <n v="33.610000999999997"/>
    <n v="33.299999"/>
    <x v="3460"/>
    <n v="28.518587"/>
    <n v="36718700"/>
  </r>
  <r>
    <x v="6948"/>
    <n v="33.360000999999997"/>
    <n v="34.029998999999997"/>
    <n v="33.290000999999997"/>
    <x v="3461"/>
    <n v="28.807334999999998"/>
    <n v="46946800"/>
  </r>
  <r>
    <x v="6949"/>
    <n v="33.880001"/>
    <n v="34"/>
    <n v="33.419998"/>
    <x v="3462"/>
    <n v="28.756384000000001"/>
    <n v="38703800"/>
  </r>
  <r>
    <x v="6950"/>
    <n v="33.689999"/>
    <n v="33.990001999999997"/>
    <n v="33.619999"/>
    <x v="3463"/>
    <n v="28.773364999999998"/>
    <n v="33008100"/>
  </r>
  <r>
    <x v="6951"/>
    <n v="33.599997999999999"/>
    <n v="33.709999000000003"/>
    <n v="33.200001"/>
    <x v="3464"/>
    <n v="28.280778999999999"/>
    <n v="35069300"/>
  </r>
  <r>
    <x v="6952"/>
    <n v="33.310001"/>
    <n v="33.330002"/>
    <n v="32.799999"/>
    <x v="3096"/>
    <n v="28.034490999999999"/>
    <n v="41017600"/>
  </r>
  <r>
    <x v="6953"/>
    <n v="33.07"/>
    <n v="33.349997999999999"/>
    <n v="32.959999000000003"/>
    <x v="3465"/>
    <n v="28.085460999999999"/>
    <n v="35878600"/>
  </r>
  <r>
    <x v="6954"/>
    <n v="33.310001"/>
    <n v="33.889999000000003"/>
    <n v="33.259998000000003"/>
    <x v="3061"/>
    <n v="28.67145"/>
    <n v="42875100"/>
  </r>
  <r>
    <x v="6955"/>
    <n v="33.68"/>
    <n v="34.139999000000003"/>
    <n v="33.68"/>
    <x v="3466"/>
    <n v="28.985686999999999"/>
    <n v="30033300"/>
  </r>
  <r>
    <x v="6956"/>
    <n v="33.900002000000001"/>
    <n v="34.5"/>
    <n v="33.779998999999997"/>
    <x v="2180"/>
    <n v="29.257446000000002"/>
    <n v="27757900"/>
  </r>
  <r>
    <x v="6957"/>
    <n v="34.669998"/>
    <n v="34.990001999999997"/>
    <n v="34.470001000000003"/>
    <x v="2301"/>
    <n v="29.291426000000001"/>
    <n v="47097800"/>
  </r>
  <r>
    <x v="6958"/>
    <n v="34.599997999999999"/>
    <n v="34.900002000000001"/>
    <n v="34.560001"/>
    <x v="2316"/>
    <n v="29.418811999999999"/>
    <n v="35111600"/>
  </r>
  <r>
    <x v="6959"/>
    <n v="34.450001"/>
    <n v="34.990001999999997"/>
    <n v="34.369999"/>
    <x v="2185"/>
    <n v="29.656600999999998"/>
    <n v="31359200"/>
  </r>
  <r>
    <x v="6960"/>
    <n v="34.82"/>
    <n v="34.990001999999997"/>
    <n v="34.330002"/>
    <x v="3414"/>
    <n v="29.690574999999999"/>
    <n v="41811700"/>
  </r>
  <r>
    <x v="6961"/>
    <n v="34.979999999999997"/>
    <n v="35.200001"/>
    <n v="34.909999999999997"/>
    <x v="3412"/>
    <n v="29.716066000000001"/>
    <n v="27433500"/>
  </r>
  <r>
    <x v="6962"/>
    <n v="35.020000000000003"/>
    <n v="35.099997999999999"/>
    <n v="34.520000000000003"/>
    <x v="2161"/>
    <n v="29.367853"/>
    <n v="40438500"/>
  </r>
  <r>
    <x v="6963"/>
    <n v="34.349997999999999"/>
    <n v="34.490001999999997"/>
    <n v="33.669998"/>
    <x v="3061"/>
    <n v="28.67145"/>
    <n v="58600500"/>
  </r>
  <r>
    <x v="6964"/>
    <n v="33.82"/>
    <n v="34.099997999999999"/>
    <n v="33.57"/>
    <x v="2300"/>
    <n v="28.637485999999999"/>
    <n v="53209700"/>
  </r>
  <r>
    <x v="6965"/>
    <n v="35.880001"/>
    <n v="36.290000999999997"/>
    <n v="35.470001000000003"/>
    <x v="3467"/>
    <n v="30.344517"/>
    <n v="113494000"/>
  </r>
  <r>
    <x v="6966"/>
    <n v="35.610000999999997"/>
    <n v="35.729999999999997"/>
    <n v="35.270000000000003"/>
    <x v="2189"/>
    <n v="30.208632000000001"/>
    <n v="38383600"/>
  </r>
  <r>
    <x v="6967"/>
    <n v="35.630001"/>
    <n v="35.720001000000003"/>
    <n v="35.259998000000003"/>
    <x v="3056"/>
    <n v="30.166172"/>
    <n v="31702200"/>
  </r>
  <r>
    <x v="6968"/>
    <n v="35.529998999999997"/>
    <n v="35.790000999999997"/>
    <n v="35.43"/>
    <x v="3468"/>
    <n v="30.183157000000001"/>
    <n v="36997700"/>
  </r>
  <r>
    <x v="6969"/>
    <n v="35.659999999999997"/>
    <n v="35.689999"/>
    <n v="35.340000000000003"/>
    <x v="3469"/>
    <n v="30.072759999999999"/>
    <n v="41682300"/>
  </r>
  <r>
    <x v="6970"/>
    <n v="35.669998"/>
    <n v="35.689999"/>
    <n v="35.389999000000003"/>
    <x v="3470"/>
    <n v="30.174659999999999"/>
    <n v="40264600"/>
  </r>
  <r>
    <x v="6971"/>
    <n v="35.590000000000003"/>
    <n v="35.979999999999997"/>
    <n v="35.549999"/>
    <x v="3471"/>
    <n v="30.522863000000001"/>
    <n v="28060700"/>
  </r>
  <r>
    <x v="6972"/>
    <n v="35.790000999999997"/>
    <n v="36.709999000000003"/>
    <n v="35.770000000000003"/>
    <x v="3472"/>
    <n v="31.117369"/>
    <n v="51681900"/>
  </r>
  <r>
    <x v="6973"/>
    <n v="37.240001999999997"/>
    <n v="38.220001000000003"/>
    <n v="37.060001"/>
    <x v="3473"/>
    <n v="32.425240000000002"/>
    <n v="88948800"/>
  </r>
  <r>
    <x v="6974"/>
    <n v="37.959999000000003"/>
    <n v="38.009998000000003"/>
    <n v="37.43"/>
    <x v="1762"/>
    <n v="31.847733000000002"/>
    <n v="60437400"/>
  </r>
  <r>
    <x v="6975"/>
    <n v="37.669998"/>
    <n v="37.779998999999997"/>
    <n v="37.340000000000003"/>
    <x v="3474"/>
    <n v="32.085506000000002"/>
    <n v="36737800"/>
  </r>
  <r>
    <x v="6976"/>
    <n v="37.689999"/>
    <n v="37.779998999999997"/>
    <n v="37.349997999999999"/>
    <x v="3475"/>
    <n v="31.924168000000002"/>
    <n v="26872500"/>
  </r>
  <r>
    <x v="6977"/>
    <n v="37.380001"/>
    <n v="37.599997999999999"/>
    <n v="37.200001"/>
    <x v="3476"/>
    <n v="31.728829999999999"/>
    <n v="31651600"/>
  </r>
  <r>
    <x v="6978"/>
    <n v="36.979999999999997"/>
    <n v="38.159999999999997"/>
    <n v="36.900002000000001"/>
    <x v="3477"/>
    <n v="32.408259999999999"/>
    <n v="44957600"/>
  </r>
  <r>
    <x v="6979"/>
    <n v="37.869999"/>
    <n v="38.130001"/>
    <n v="37.720001000000003"/>
    <x v="3478"/>
    <n v="32.289344999999997"/>
    <n v="46183700"/>
  </r>
  <r>
    <x v="6980"/>
    <n v="37.950001"/>
    <n v="38.020000000000003"/>
    <n v="37.720001000000003"/>
    <x v="3479"/>
    <n v="32.136485999999998"/>
    <n v="50601300"/>
  </r>
  <r>
    <x v="6981"/>
    <n v="37.349997999999999"/>
    <n v="37.580002"/>
    <n v="37.07"/>
    <x v="3480"/>
    <n v="31.592956999999998"/>
    <n v="53277500"/>
  </r>
  <r>
    <x v="6982"/>
    <n v="36.849997999999999"/>
    <n v="37.229999999999997"/>
    <n v="36.669998"/>
    <x v="3481"/>
    <n v="31.438932000000001"/>
    <n v="44275000"/>
  </r>
  <r>
    <x v="6983"/>
    <n v="36.919998"/>
    <n v="37.409999999999997"/>
    <n v="36.860000999999997"/>
    <x v="3482"/>
    <n v="31.729872"/>
    <n v="32229900"/>
  </r>
  <r>
    <x v="6984"/>
    <n v="37.270000000000003"/>
    <n v="37.529998999999997"/>
    <n v="37.259998000000003"/>
    <x v="3483"/>
    <n v="32.003695999999998"/>
    <n v="23064700"/>
  </r>
  <r>
    <x v="6985"/>
    <n v="37.529998999999997"/>
    <n v="37.68"/>
    <n v="37.330002"/>
    <x v="3484"/>
    <n v="32.149177999999999"/>
    <n v="27982000"/>
  </r>
  <r>
    <x v="6986"/>
    <n v="37.93"/>
    <n v="37.950001"/>
    <n v="37.57"/>
    <x v="3485"/>
    <n v="32.209063999999998"/>
    <n v="30646800"/>
  </r>
  <r>
    <x v="6987"/>
    <n v="37.57"/>
    <n v="37.650002000000001"/>
    <n v="37.349997999999999"/>
    <x v="3486"/>
    <n v="31.960905"/>
    <n v="34465300"/>
  </r>
  <r>
    <x v="6988"/>
    <n v="37.57"/>
    <n v="37.759998000000003"/>
    <n v="37.490001999999997"/>
    <x v="3487"/>
    <n v="32.174830999999998"/>
    <n v="26002100"/>
  </r>
  <r>
    <x v="6989"/>
    <n v="37.82"/>
    <n v="38.290000999999997"/>
    <n v="37.82"/>
    <x v="3488"/>
    <n v="32.628371999999999"/>
    <n v="22090400"/>
  </r>
  <r>
    <x v="6990"/>
    <n v="38.090000000000003"/>
    <n v="38.779998999999997"/>
    <n v="38.060001"/>
    <x v="3489"/>
    <n v="32.902206"/>
    <n v="42950400"/>
  </r>
  <r>
    <x v="6991"/>
    <n v="38.139999000000003"/>
    <n v="38.490001999999997"/>
    <n v="38.080002"/>
    <x v="3490"/>
    <n v="32.782393999999996"/>
    <n v="52109800"/>
  </r>
  <r>
    <x v="6992"/>
    <n v="38.209999000000003"/>
    <n v="38.979999999999997"/>
    <n v="38.119999"/>
    <x v="3491"/>
    <n v="33.321491000000002"/>
    <n v="51983600"/>
  </r>
  <r>
    <x v="6993"/>
    <n v="38.849997999999999"/>
    <n v="38.880001"/>
    <n v="37.18"/>
    <x v="3492"/>
    <n v="32.517131999999997"/>
    <n v="116305000"/>
  </r>
  <r>
    <x v="6994"/>
    <n v="38.419998"/>
    <n v="38.549999"/>
    <n v="37.990001999999997"/>
    <x v="3493"/>
    <n v="32.825184"/>
    <n v="36457300"/>
  </r>
  <r>
    <x v="6995"/>
    <n v="38.560001"/>
    <n v="38.869999"/>
    <n v="38.369999"/>
    <x v="3494"/>
    <n v="33.124679999999998"/>
    <n v="30286000"/>
  </r>
  <r>
    <x v="6996"/>
    <n v="38.610000999999997"/>
    <n v="38.900002000000001"/>
    <n v="38.020000000000003"/>
    <x v="3495"/>
    <n v="32.611248000000003"/>
    <n v="37828600"/>
  </r>
  <r>
    <x v="6997"/>
    <n v="38.060001"/>
    <n v="38.299999"/>
    <n v="37.389999000000003"/>
    <x v="3496"/>
    <n v="32.183388000000001"/>
    <n v="39853400"/>
  </r>
  <r>
    <x v="6998"/>
    <n v="37.639999000000003"/>
    <n v="37.639999000000003"/>
    <n v="37.18"/>
    <x v="3497"/>
    <n v="31.84967"/>
    <n v="36012800"/>
  </r>
  <r>
    <x v="6999"/>
    <n v="37.419998"/>
    <n v="37.450001"/>
    <n v="36.619999"/>
    <x v="3498"/>
    <n v="31.396132999999999"/>
    <n v="40066100"/>
  </r>
  <r>
    <x v="7000"/>
    <n v="36.729999999999997"/>
    <n v="37"/>
    <n v="36.540000999999997"/>
    <x v="3499"/>
    <n v="31.56728"/>
    <n v="31734200"/>
  </r>
  <r>
    <x v="7001"/>
    <n v="36.939999"/>
    <n v="37.110000999999997"/>
    <n v="36.330002"/>
    <x v="3500"/>
    <n v="31.250665999999999"/>
    <n v="45687700"/>
  </r>
  <r>
    <x v="7002"/>
    <n v="36.360000999999997"/>
    <n v="36.599997999999999"/>
    <n v="35.529998999999997"/>
    <x v="3082"/>
    <n v="31.302005999999999"/>
    <n v="63192100"/>
  </r>
  <r>
    <x v="7003"/>
    <n v="36.509998000000003"/>
    <n v="36.549999"/>
    <n v="36.080002"/>
    <x v="3501"/>
    <n v="31.019625000000001"/>
    <n v="34160100"/>
  </r>
  <r>
    <x v="7004"/>
    <n v="36.200001"/>
    <n v="36.93"/>
    <n v="36.189999"/>
    <x v="3502"/>
    <n v="31.490261"/>
    <n v="62649100"/>
  </r>
  <r>
    <x v="7005"/>
    <n v="36.810001"/>
    <n v="36.889999000000003"/>
    <n v="36.549999"/>
    <x v="3503"/>
    <n v="31.336234999999999"/>
    <n v="25128700"/>
  </r>
  <r>
    <x v="7006"/>
    <n v="36.720001000000003"/>
    <n v="37.169998"/>
    <n v="36.639999000000003"/>
    <x v="3482"/>
    <n v="31.729872"/>
    <n v="14243000"/>
  </r>
  <r>
    <x v="7007"/>
    <n v="37.200001"/>
    <n v="37.490001999999997"/>
    <n v="37.169998"/>
    <x v="3504"/>
    <n v="32.037914000000001"/>
    <n v="17612800"/>
  </r>
  <r>
    <x v="7008"/>
    <n v="37.580002"/>
    <n v="37.619999"/>
    <n v="37.169998"/>
    <x v="3505"/>
    <n v="31.909561"/>
    <n v="14563000"/>
  </r>
  <r>
    <x v="7009"/>
    <n v="37.220001000000003"/>
    <n v="37.380001"/>
    <n v="36.900002000000001"/>
    <x v="3505"/>
    <n v="31.909561"/>
    <n v="16290500"/>
  </r>
  <r>
    <x v="7010"/>
    <n v="37.400002000000001"/>
    <n v="37.580002"/>
    <n v="37.220001000000003"/>
    <x v="3506"/>
    <n v="32.012256999999998"/>
    <n v="17503500"/>
  </r>
  <r>
    <x v="7011"/>
    <n v="37.349997999999999"/>
    <n v="37.400002000000001"/>
    <n v="37.099997999999999"/>
    <x v="3507"/>
    <n v="31.798325999999999"/>
    <n v="30632200"/>
  </r>
  <r>
    <x v="7012"/>
    <n v="37.200001"/>
    <n v="37.220001000000003"/>
    <n v="36.599997999999999"/>
    <x v="3508"/>
    <n v="31.584391"/>
    <n v="31134800"/>
  </r>
  <r>
    <x v="7013"/>
    <n v="36.849997999999999"/>
    <n v="36.889999000000003"/>
    <n v="36.110000999999997"/>
    <x v="3509"/>
    <n v="30.916943"/>
    <n v="43603700"/>
  </r>
  <r>
    <x v="7014"/>
    <n v="36.330002"/>
    <n v="36.490001999999997"/>
    <n v="36.209999000000003"/>
    <x v="3055"/>
    <n v="31.156531999999999"/>
    <n v="35802800"/>
  </r>
  <r>
    <x v="7015"/>
    <n v="36"/>
    <n v="36.139999000000003"/>
    <n v="35.580002"/>
    <x v="3510"/>
    <n v="30.600317"/>
    <n v="59971700"/>
  </r>
  <r>
    <x v="7016"/>
    <n v="35.880001"/>
    <n v="35.909999999999997"/>
    <n v="35.400002000000001"/>
    <x v="3470"/>
    <n v="30.403507000000001"/>
    <n v="36516300"/>
  </r>
  <r>
    <x v="7017"/>
    <n v="35.900002000000001"/>
    <n v="36.150002000000001"/>
    <n v="35.75"/>
    <x v="2178"/>
    <n v="30.839919999999999"/>
    <n v="40548800"/>
  </r>
  <r>
    <x v="7018"/>
    <n v="35.990001999999997"/>
    <n v="36.020000000000003"/>
    <n v="34.830002"/>
    <x v="3419"/>
    <n v="29.932869"/>
    <n v="45901900"/>
  </r>
  <r>
    <x v="7019"/>
    <n v="34.729999999999997"/>
    <n v="35.880001"/>
    <n v="34.630001"/>
    <x v="3511"/>
    <n v="30.617428"/>
    <n v="41623300"/>
  </r>
  <r>
    <x v="7020"/>
    <n v="35.900002000000001"/>
    <n v="36.790000999999997"/>
    <n v="35.849997999999999"/>
    <x v="3512"/>
    <n v="31.456039000000001"/>
    <n v="44812600"/>
  </r>
  <r>
    <x v="7021"/>
    <n v="36.689999"/>
    <n v="37"/>
    <n v="36.310001"/>
    <x v="3499"/>
    <n v="31.56728"/>
    <n v="38018700"/>
  </r>
  <r>
    <x v="7022"/>
    <n v="36.830002"/>
    <n v="36.830002"/>
    <n v="36.150002000000001"/>
    <x v="3513"/>
    <n v="31.130865"/>
    <n v="46267500"/>
  </r>
  <r>
    <x v="7023"/>
    <n v="36.82"/>
    <n v="36.82"/>
    <n v="36.060001"/>
    <x v="3426"/>
    <n v="30.951170000000001"/>
    <n v="31567300"/>
  </r>
  <r>
    <x v="7024"/>
    <n v="36.259998000000003"/>
    <n v="36.32"/>
    <n v="35.75"/>
    <x v="3514"/>
    <n v="30.745804"/>
    <n v="21904300"/>
  </r>
  <r>
    <x v="7025"/>
    <n v="36.090000000000003"/>
    <n v="36.130001"/>
    <n v="35.520000000000003"/>
    <x v="2177"/>
    <n v="30.857043999999998"/>
    <n v="43954000"/>
  </r>
  <r>
    <x v="7026"/>
    <n v="37.450001"/>
    <n v="37.549999"/>
    <n v="36.529998999999997"/>
    <x v="3052"/>
    <n v="31.498826999999999"/>
    <n v="76395500"/>
  </r>
  <r>
    <x v="7027"/>
    <n v="36.869999"/>
    <n v="36.889999000000003"/>
    <n v="35.979999999999997"/>
    <x v="2156"/>
    <n v="30.83136"/>
    <n v="44420800"/>
  </r>
  <r>
    <x v="7028"/>
    <n v="36.119999"/>
    <n v="36.389999000000003"/>
    <n v="35.75"/>
    <x v="3427"/>
    <n v="31.036733999999999"/>
    <n v="36205500"/>
  </r>
  <r>
    <x v="7029"/>
    <n v="35.979999999999997"/>
    <n v="36.880001"/>
    <n v="35.900002000000001"/>
    <x v="3515"/>
    <n v="31.370456999999998"/>
    <n v="52745900"/>
  </r>
  <r>
    <x v="7030"/>
    <n v="36.790000999999997"/>
    <n v="36.880001"/>
    <n v="36.229999999999997"/>
    <x v="3516"/>
    <n v="31.541615"/>
    <n v="35036300"/>
  </r>
  <r>
    <x v="7031"/>
    <n v="36.950001"/>
    <n v="37.889999000000003"/>
    <n v="36.560001"/>
    <x v="3479"/>
    <n v="32.380211000000003"/>
    <n v="93162300"/>
  </r>
  <r>
    <x v="7032"/>
    <n v="37.740001999999997"/>
    <n v="37.990001999999997"/>
    <n v="36.43"/>
    <x v="3517"/>
    <n v="31.216434"/>
    <n v="64063100"/>
  </r>
  <r>
    <x v="7033"/>
    <n v="36.970001000000003"/>
    <n v="37.189999"/>
    <n v="36.25"/>
    <x v="3518"/>
    <n v="31.105183"/>
    <n v="54697900"/>
  </r>
  <r>
    <x v="7034"/>
    <n v="36.290000999999997"/>
    <n v="36.470001000000003"/>
    <n v="35.799999"/>
    <x v="3519"/>
    <n v="30.651667"/>
    <n v="55814400"/>
  </r>
  <r>
    <x v="7035"/>
    <n v="35.799999"/>
    <n v="36.25"/>
    <n v="35.689999"/>
    <x v="2174"/>
    <n v="30.959724000000001"/>
    <n v="35351800"/>
  </r>
  <r>
    <x v="7036"/>
    <n v="36.32"/>
    <n v="36.590000000000003"/>
    <n v="36.009998000000003"/>
    <x v="3520"/>
    <n v="31.284901000000001"/>
    <n v="33260500"/>
  </r>
  <r>
    <x v="7037"/>
    <n v="36.630001"/>
    <n v="36.799999"/>
    <n v="36.290000999999997"/>
    <x v="3502"/>
    <n v="31.490261"/>
    <n v="26767000"/>
  </r>
  <r>
    <x v="7038"/>
    <n v="36.880001"/>
    <n v="37.259998000000003"/>
    <n v="36.860000999999997"/>
    <x v="3521"/>
    <n v="31.806885000000001"/>
    <n v="32141400"/>
  </r>
  <r>
    <x v="7039"/>
    <n v="37.349997999999999"/>
    <n v="37.599997999999999"/>
    <n v="37.299999"/>
    <x v="3522"/>
    <n v="32.063594999999999"/>
    <n v="27051800"/>
  </r>
  <r>
    <x v="7040"/>
    <n v="37.330002"/>
    <n v="37.860000999999997"/>
    <n v="37.330002"/>
    <x v="3496"/>
    <n v="32.183388000000001"/>
    <n v="37635500"/>
  </r>
  <r>
    <x v="7041"/>
    <n v="37.389999000000003"/>
    <n v="37.779998999999997"/>
    <n v="37.330002"/>
    <x v="3523"/>
    <n v="32.191947999999996"/>
    <n v="31407500"/>
  </r>
  <r>
    <x v="7042"/>
    <n v="37.630001"/>
    <n v="37.779998999999997"/>
    <n v="37.409999999999997"/>
    <x v="3524"/>
    <n v="32.260917999999997"/>
    <n v="32834000"/>
  </r>
  <r>
    <x v="7043"/>
    <n v="37.220001000000003"/>
    <n v="37.75"/>
    <n v="37.209999000000003"/>
    <x v="3525"/>
    <n v="32.338512000000001"/>
    <n v="29750400"/>
  </r>
  <r>
    <x v="7044"/>
    <n v="37.57"/>
    <n v="37.869999"/>
    <n v="37.400002000000001"/>
    <x v="3526"/>
    <n v="32.545417999999998"/>
    <n v="27526100"/>
  </r>
  <r>
    <x v="7045"/>
    <n v="37.939999"/>
    <n v="38.349997999999999"/>
    <n v="37.860000999999997"/>
    <x v="3527"/>
    <n v="32.743713"/>
    <n v="38021300"/>
  </r>
  <r>
    <x v="7046"/>
    <n v="37.689999"/>
    <n v="37.979999999999997"/>
    <n v="37.540000999999997"/>
    <x v="3528"/>
    <n v="32.493687000000001"/>
    <n v="32085100"/>
  </r>
  <r>
    <x v="7047"/>
    <n v="37.610000999999997"/>
    <n v="37.849997999999999"/>
    <n v="37.349997999999999"/>
    <x v="3529"/>
    <n v="32.364384000000001"/>
    <n v="30736500"/>
  </r>
  <r>
    <x v="7048"/>
    <n v="37.580002"/>
    <n v="37.740001999999997"/>
    <n v="37.189999"/>
    <x v="3522"/>
    <n v="32.304031000000002"/>
    <n v="41041800"/>
  </r>
  <r>
    <x v="7049"/>
    <n v="37.450001"/>
    <n v="37.889999000000003"/>
    <n v="37.229999999999997"/>
    <x v="3530"/>
    <n v="32.640262999999997"/>
    <n v="33903400"/>
  </r>
  <r>
    <x v="7050"/>
    <n v="37.979999999999997"/>
    <n v="38.459999000000003"/>
    <n v="37.82"/>
    <x v="3490"/>
    <n v="33.028216999999998"/>
    <n v="41215000"/>
  </r>
  <r>
    <x v="7051"/>
    <n v="37.919998"/>
    <n v="38.130001"/>
    <n v="37.490001999999997"/>
    <x v="3474"/>
    <n v="32.571289"/>
    <n v="29717500"/>
  </r>
  <r>
    <x v="7052"/>
    <n v="38.200001"/>
    <n v="38.479999999999997"/>
    <n v="38.07"/>
    <x v="3531"/>
    <n v="33.114437000000002"/>
    <n v="26802400"/>
  </r>
  <r>
    <x v="7053"/>
    <n v="38.25"/>
    <n v="38.270000000000003"/>
    <n v="37.93"/>
    <x v="3495"/>
    <n v="32.855789000000001"/>
    <n v="20520100"/>
  </r>
  <r>
    <x v="7054"/>
    <n v="38.139999000000003"/>
    <n v="38.240001999999997"/>
    <n v="37.889999000000003"/>
    <x v="3532"/>
    <n v="32.890278000000002"/>
    <n v="23582200"/>
  </r>
  <r>
    <x v="7055"/>
    <n v="38.279998999999997"/>
    <n v="38.360000999999997"/>
    <n v="37.689999"/>
    <x v="3533"/>
    <n v="32.674743999999997"/>
    <n v="26591600"/>
  </r>
  <r>
    <x v="7056"/>
    <n v="37.990001999999997"/>
    <n v="38.009998000000003"/>
    <n v="37.720001000000003"/>
    <x v="3534"/>
    <n v="32.605784999999997"/>
    <n v="19006600"/>
  </r>
  <r>
    <x v="7057"/>
    <n v="37.869999"/>
    <n v="38.229999999999997"/>
    <n v="37.720001000000003"/>
    <x v="3478"/>
    <n v="32.778202"/>
    <n v="25216400"/>
  </r>
  <r>
    <x v="7058"/>
    <n v="37.799999"/>
    <n v="38.43"/>
    <n v="37.790000999999997"/>
    <x v="3535"/>
    <n v="32.993744"/>
    <n v="30494100"/>
  </r>
  <r>
    <x v="7059"/>
    <n v="38.419998"/>
    <n v="38.450001"/>
    <n v="37.639999000000003"/>
    <x v="3536"/>
    <n v="32.666122000000001"/>
    <n v="32169700"/>
  </r>
  <r>
    <x v="7060"/>
    <n v="37.650002000000001"/>
    <n v="38.139999000000003"/>
    <n v="37.509998000000003"/>
    <x v="3537"/>
    <n v="32.502319"/>
    <n v="27195600"/>
  </r>
  <r>
    <x v="7061"/>
    <n v="37.900002000000001"/>
    <n v="38.409999999999997"/>
    <n v="37.790000999999997"/>
    <x v="3538"/>
    <n v="32.804062000000002"/>
    <n v="20479600"/>
  </r>
  <r>
    <x v="7062"/>
    <n v="38.259998000000003"/>
    <n v="39.900002000000001"/>
    <n v="38.220001000000003"/>
    <x v="3539"/>
    <n v="34.097262999999998"/>
    <n v="64063900"/>
  </r>
  <r>
    <x v="7063"/>
    <n v="39.470001000000003"/>
    <n v="39.549999"/>
    <n v="38.909999999999997"/>
    <x v="3540"/>
    <n v="33.855865000000001"/>
    <n v="35597200"/>
  </r>
  <r>
    <x v="7064"/>
    <n v="39.25"/>
    <n v="40.650002000000001"/>
    <n v="39.240001999999997"/>
    <x v="3541"/>
    <n v="34.769730000000003"/>
    <n v="59269800"/>
  </r>
  <r>
    <x v="7065"/>
    <n v="40.720001000000003"/>
    <n v="40.939999"/>
    <n v="40.009998000000003"/>
    <x v="3542"/>
    <n v="34.623161000000003"/>
    <n v="80721800"/>
  </r>
  <r>
    <x v="7066"/>
    <n v="40.340000000000003"/>
    <n v="40.639999000000003"/>
    <n v="39.860000999999997"/>
    <x v="1803"/>
    <n v="34.916279000000003"/>
    <n v="46098400"/>
  </r>
  <r>
    <x v="7067"/>
    <n v="40.659999999999997"/>
    <n v="40.990001999999997"/>
    <n v="39.959999000000003"/>
    <x v="3543"/>
    <n v="34.778339000000003"/>
    <n v="43193100"/>
  </r>
  <r>
    <x v="7068"/>
    <n v="40.479999999999997"/>
    <n v="40.709999000000003"/>
    <n v="39.599997999999999"/>
    <x v="3544"/>
    <n v="34.304172999999999"/>
    <n v="41977500"/>
  </r>
  <r>
    <x v="7069"/>
    <n v="39.740001999999997"/>
    <n v="39.970001000000003"/>
    <n v="39.340000000000003"/>
    <x v="3545"/>
    <n v="33.933467999999998"/>
    <n v="35369200"/>
  </r>
  <r>
    <x v="7070"/>
    <n v="39.790000999999997"/>
    <n v="40.639999000000003"/>
    <n v="39.68"/>
    <x v="3546"/>
    <n v="34.743862"/>
    <n v="43472700"/>
  </r>
  <r>
    <x v="7071"/>
    <n v="40.43"/>
    <n v="41.5"/>
    <n v="40.400002000000001"/>
    <x v="3547"/>
    <n v="35.338718"/>
    <n v="46886300"/>
  </r>
  <r>
    <x v="7072"/>
    <n v="41.150002000000001"/>
    <n v="41.59"/>
    <n v="41.07"/>
    <x v="3548"/>
    <n v="35.709437999999999"/>
    <n v="32605000"/>
  </r>
  <r>
    <x v="7073"/>
    <n v="41.439999"/>
    <n v="41.66"/>
    <n v="41.169998"/>
    <x v="3549"/>
    <n v="35.649090000000001"/>
    <n v="28666700"/>
  </r>
  <r>
    <x v="7074"/>
    <n v="41.290000999999997"/>
    <n v="41.290000999999997"/>
    <n v="40.709999000000003"/>
    <x v="3550"/>
    <n v="35.355967999999997"/>
    <n v="30139600"/>
  </r>
  <r>
    <x v="7075"/>
    <n v="41.25"/>
    <n v="41.389999000000003"/>
    <n v="39.639999000000003"/>
    <x v="3551"/>
    <n v="34.373123"/>
    <n v="51409600"/>
  </r>
  <r>
    <x v="7076"/>
    <n v="39.959999000000003"/>
    <n v="40.270000000000003"/>
    <n v="39.740001999999997"/>
    <x v="3552"/>
    <n v="34.31279"/>
    <n v="37559600"/>
  </r>
  <r>
    <x v="7077"/>
    <n v="39.75"/>
    <n v="39.93"/>
    <n v="39.200001"/>
    <x v="3553"/>
    <n v="34.330021000000002"/>
    <n v="35918600"/>
  </r>
  <r>
    <x v="7078"/>
    <n v="39.93"/>
    <n v="40.549999"/>
    <n v="39.880001"/>
    <x v="3554"/>
    <n v="34.890419000000001"/>
    <n v="27398700"/>
  </r>
  <r>
    <x v="7079"/>
    <n v="40.439999"/>
    <n v="40.689999"/>
    <n v="39.090000000000003"/>
    <x v="3545"/>
    <n v="33.933467999999998"/>
    <n v="45960800"/>
  </r>
  <r>
    <x v="7080"/>
    <n v="39"/>
    <n v="39.790000999999997"/>
    <n v="39"/>
    <x v="3555"/>
    <n v="33.804133999999998"/>
    <n v="34330200"/>
  </r>
  <r>
    <x v="7081"/>
    <n v="39.110000999999997"/>
    <n v="39.409999999999997"/>
    <n v="38.900002000000001"/>
    <x v="3556"/>
    <n v="33.778278"/>
    <n v="32006600"/>
  </r>
  <r>
    <x v="7082"/>
    <n v="39.340000000000003"/>
    <n v="39.959999000000003"/>
    <n v="39.049999"/>
    <x v="1775"/>
    <n v="34.269680000000001"/>
    <n v="33968700"/>
  </r>
  <r>
    <x v="7083"/>
    <n v="40.060001"/>
    <n v="40.419998"/>
    <n v="39.909999999999997"/>
    <x v="3557"/>
    <n v="34.830074000000003"/>
    <n v="30615800"/>
  </r>
  <r>
    <x v="7084"/>
    <n v="40.009998000000003"/>
    <n v="40.200001"/>
    <n v="39.509998000000003"/>
    <x v="3558"/>
    <n v="34.493831999999998"/>
    <n v="36688400"/>
  </r>
  <r>
    <x v="7085"/>
    <n v="40.130001"/>
    <n v="40.150002000000001"/>
    <n v="39.790000999999997"/>
    <x v="3559"/>
    <n v="34.433487"/>
    <n v="22221200"/>
  </r>
  <r>
    <x v="7086"/>
    <n v="39.959999000000003"/>
    <n v="40.139999000000003"/>
    <n v="39.830002"/>
    <x v="3560"/>
    <n v="34.476596999999998"/>
    <n v="27056700"/>
  </r>
  <r>
    <x v="7087"/>
    <n v="39.990001999999997"/>
    <n v="39.990001999999997"/>
    <n v="39.470001000000003"/>
    <x v="3561"/>
    <n v="34.217956999999998"/>
    <n v="24602800"/>
  </r>
  <r>
    <x v="7088"/>
    <n v="39.740001999999997"/>
    <n v="39.970001000000003"/>
    <n v="39.299999"/>
    <x v="3562"/>
    <n v="34.364516999999999"/>
    <n v="42381600"/>
  </r>
  <r>
    <x v="7089"/>
    <n v="40.290000999999997"/>
    <n v="40.68"/>
    <n v="39.75"/>
    <x v="3563"/>
    <n v="34.407623000000001"/>
    <n v="56876800"/>
  </r>
  <r>
    <x v="7090"/>
    <n v="40.139999000000003"/>
    <n v="41.290000999999997"/>
    <n v="40.090000000000003"/>
    <x v="3564"/>
    <n v="35.235270999999997"/>
    <n v="50610200"/>
  </r>
  <r>
    <x v="7091"/>
    <n v="41.099997999999999"/>
    <n v="41.189999"/>
    <n v="40.389999000000003"/>
    <x v="3565"/>
    <n v="34.924895999999997"/>
    <n v="29636200"/>
  </r>
  <r>
    <x v="7092"/>
    <n v="40.400002000000001"/>
    <n v="40.5"/>
    <n v="40.169998"/>
    <x v="3557"/>
    <n v="34.830074000000003"/>
    <n v="35458700"/>
  </r>
  <r>
    <x v="7093"/>
    <n v="40.240001999999997"/>
    <n v="40.360000999999997"/>
    <n v="39.950001"/>
    <x v="1756"/>
    <n v="34.485213999999999"/>
    <n v="28787400"/>
  </r>
  <r>
    <x v="7094"/>
    <n v="40.310001"/>
    <n v="40.340000000000003"/>
    <n v="39.659999999999997"/>
    <x v="3561"/>
    <n v="34.217956999999998"/>
    <n v="43416600"/>
  </r>
  <r>
    <x v="7095"/>
    <n v="39.520000000000003"/>
    <n v="39.639999000000003"/>
    <n v="39.299999"/>
    <x v="3566"/>
    <n v="33.993800999999998"/>
    <n v="22460900"/>
  </r>
  <r>
    <x v="7096"/>
    <n v="39.290000999999997"/>
    <n v="39.349997999999999"/>
    <n v="38.950001"/>
    <x v="3567"/>
    <n v="33.674812000000003"/>
    <n v="27112400"/>
  </r>
  <r>
    <x v="7097"/>
    <n v="39.220001000000003"/>
    <n v="39.509998000000003"/>
    <n v="38.509998000000003"/>
    <x v="3568"/>
    <n v="33.985183999999997"/>
    <n v="41744500"/>
  </r>
  <r>
    <x v="7098"/>
    <n v="39.340000000000003"/>
    <n v="39.900002000000001"/>
    <n v="38.970001000000003"/>
    <x v="3569"/>
    <n v="34.174861999999997"/>
    <n v="32120400"/>
  </r>
  <r>
    <x v="7099"/>
    <n v="39.540000999999997"/>
    <n v="39.849997999999999"/>
    <n v="39.369999"/>
    <x v="3570"/>
    <n v="34.088630999999999"/>
    <n v="29647600"/>
  </r>
  <r>
    <x v="7100"/>
    <n v="39.740001999999997"/>
    <n v="40.020000000000003"/>
    <n v="39.650002000000001"/>
    <x v="3571"/>
    <n v="34.459358000000002"/>
    <n v="22782600"/>
  </r>
  <r>
    <x v="7101"/>
    <n v="39.919998"/>
    <n v="40.5"/>
    <n v="39.849997999999999"/>
    <x v="3572"/>
    <n v="35.093150999999999"/>
    <n v="27004800"/>
  </r>
  <r>
    <x v="7102"/>
    <n v="40.299999"/>
    <n v="40.450001"/>
    <n v="40.049999"/>
    <x v="3573"/>
    <n v="34.936866999999999"/>
    <n v="18818700"/>
  </r>
  <r>
    <x v="7103"/>
    <n v="40.090000000000003"/>
    <n v="40.400002000000001"/>
    <n v="39.509998000000003"/>
    <x v="3574"/>
    <n v="34.381217999999997"/>
    <n v="37793200"/>
  </r>
  <r>
    <x v="7104"/>
    <n v="39.669998"/>
    <n v="39.840000000000003"/>
    <n v="39.270000000000003"/>
    <x v="3575"/>
    <n v="34.580897999999998"/>
    <n v="29867100"/>
  </r>
  <r>
    <x v="7105"/>
    <n v="39.610000999999997"/>
    <n v="39.82"/>
    <n v="39.459999000000003"/>
    <x v="1775"/>
    <n v="34.51144"/>
    <n v="24537400"/>
  </r>
  <r>
    <x v="7106"/>
    <n v="39.68"/>
    <n v="39.939999"/>
    <n v="39.459999000000003"/>
    <x v="3576"/>
    <n v="34.450665000000001"/>
    <n v="21320900"/>
  </r>
  <r>
    <x v="7107"/>
    <n v="39.799999"/>
    <n v="40.349997999999999"/>
    <n v="39.740001999999997"/>
    <x v="3577"/>
    <n v="35.032375000000002"/>
    <n v="22398700"/>
  </r>
  <r>
    <x v="7108"/>
    <n v="40.290000999999997"/>
    <n v="40.349997999999999"/>
    <n v="39.849997999999999"/>
    <x v="3578"/>
    <n v="34.815322999999999"/>
    <n v="20201800"/>
  </r>
  <r>
    <x v="7109"/>
    <n v="40.369999"/>
    <n v="40.369999"/>
    <n v="40"/>
    <x v="3579"/>
    <n v="34.832687"/>
    <n v="18020000"/>
  </r>
  <r>
    <x v="7110"/>
    <n v="40.259998000000003"/>
    <n v="40.259998000000003"/>
    <n v="39.810001"/>
    <x v="3580"/>
    <n v="34.893456"/>
    <n v="26160600"/>
  </r>
  <r>
    <x v="7111"/>
    <n v="40.139999000000003"/>
    <n v="40.189999"/>
    <n v="39.82"/>
    <x v="3558"/>
    <n v="34.737170999999996"/>
    <n v="25711500"/>
  </r>
  <r>
    <x v="7112"/>
    <n v="40.150002000000001"/>
    <n v="40.349997999999999"/>
    <n v="39.909999999999997"/>
    <x v="3543"/>
    <n v="35.023693000000002"/>
    <n v="19888200"/>
  </r>
  <r>
    <x v="7113"/>
    <n v="40.450001"/>
    <n v="40.970001000000003"/>
    <n v="40.25"/>
    <x v="3581"/>
    <n v="35.544617000000002"/>
    <n v="34567600"/>
  </r>
  <r>
    <x v="7114"/>
    <n v="40.950001"/>
    <n v="41.09"/>
    <n v="40.68"/>
    <x v="3582"/>
    <n v="35.414394000000001"/>
    <n v="18504300"/>
  </r>
  <r>
    <x v="7115"/>
    <n v="40.599997999999999"/>
    <n v="40.68"/>
    <n v="40.25"/>
    <x v="3583"/>
    <n v="34.980277999999998"/>
    <n v="18068900"/>
  </r>
  <r>
    <x v="7116"/>
    <n v="40.209999000000003"/>
    <n v="40.369999"/>
    <n v="39.860000999999997"/>
    <x v="3584"/>
    <n v="35.006321"/>
    <n v="23209000"/>
  </r>
  <r>
    <x v="7117"/>
    <n v="40.590000000000003"/>
    <n v="41.25"/>
    <n v="40.400002000000001"/>
    <x v="3585"/>
    <n v="35.779040999999999"/>
    <n v="31865200"/>
  </r>
  <r>
    <x v="7118"/>
    <n v="41.48"/>
    <n v="41.66"/>
    <n v="41.240001999999997"/>
    <x v="3586"/>
    <n v="36.013454000000003"/>
    <n v="24060500"/>
  </r>
  <r>
    <x v="7119"/>
    <n v="41.389999000000003"/>
    <n v="41.48"/>
    <n v="41.02"/>
    <x v="3587"/>
    <n v="35.831122999999998"/>
    <n v="15019200"/>
  </r>
  <r>
    <x v="7120"/>
    <n v="41.029998999999997"/>
    <n v="41.16"/>
    <n v="40.860000999999997"/>
    <x v="3588"/>
    <n v="35.692214999999997"/>
    <n v="15117700"/>
  </r>
  <r>
    <x v="7121"/>
    <n v="40.93"/>
    <n v="41.07"/>
    <n v="40.770000000000003"/>
    <x v="3589"/>
    <n v="35.475150999999997"/>
    <n v="18040000"/>
  </r>
  <r>
    <x v="7122"/>
    <n v="40.810001"/>
    <n v="40.880001"/>
    <n v="40.290000999999997"/>
    <x v="3590"/>
    <n v="35.232067000000001"/>
    <n v="29818900"/>
  </r>
  <r>
    <x v="7123"/>
    <n v="41.099997999999999"/>
    <n v="41.57"/>
    <n v="40.860000999999997"/>
    <x v="3591"/>
    <n v="35.796398000000003"/>
    <n v="26310000"/>
  </r>
  <r>
    <x v="7124"/>
    <n v="41.040000999999997"/>
    <n v="41.610000999999997"/>
    <n v="41.040000999999997"/>
    <x v="3592"/>
    <n v="36.030822999999998"/>
    <n v="24205300"/>
  </r>
  <r>
    <x v="7125"/>
    <n v="41.290000999999997"/>
    <n v="41.91"/>
    <n v="40.340000000000003"/>
    <x v="3593"/>
    <n v="36.187095999999997"/>
    <n v="22518600"/>
  </r>
  <r>
    <x v="7126"/>
    <n v="41.610000999999997"/>
    <n v="41.740001999999997"/>
    <n v="41.18"/>
    <x v="3594"/>
    <n v="36.161057"/>
    <n v="27097000"/>
  </r>
  <r>
    <x v="7127"/>
    <n v="41.57"/>
    <n v="41.77"/>
    <n v="41.330002"/>
    <x v="3595"/>
    <n v="36.039496999999997"/>
    <n v="19828200"/>
  </r>
  <r>
    <x v="7128"/>
    <n v="41.450001"/>
    <n v="41.830002"/>
    <n v="41.380001"/>
    <x v="3593"/>
    <n v="36.187095999999997"/>
    <n v="47764900"/>
  </r>
  <r>
    <x v="7129"/>
    <n v="41.73"/>
    <n v="42"/>
    <n v="41.689999"/>
    <x v="3596"/>
    <n v="36.456242000000003"/>
    <n v="18743900"/>
  </r>
  <r>
    <x v="7130"/>
    <n v="41.830002"/>
    <n v="41.939999"/>
    <n v="41.560001"/>
    <x v="3597"/>
    <n v="36.247875000000001"/>
    <n v="26509100"/>
  </r>
  <r>
    <x v="7131"/>
    <n v="41.700001"/>
    <n v="42.049999"/>
    <n v="41.459999000000003"/>
    <x v="3598"/>
    <n v="36.490974000000001"/>
    <n v="20049100"/>
  </r>
  <r>
    <x v="7132"/>
    <n v="41.93"/>
    <n v="41.939999"/>
    <n v="41.43"/>
    <x v="3599"/>
    <n v="36.221817000000001"/>
    <n v="23604400"/>
  </r>
  <r>
    <x v="7133"/>
    <n v="41.610000999999997"/>
    <n v="42.290000999999997"/>
    <n v="41.509998000000003"/>
    <x v="3600"/>
    <n v="36.681975999999999"/>
    <n v="74640000"/>
  </r>
  <r>
    <x v="7134"/>
    <n v="42.169998"/>
    <n v="42.209999000000003"/>
    <n v="41.700001"/>
    <x v="3601"/>
    <n v="36.204456"/>
    <n v="30793100"/>
  </r>
  <r>
    <x v="7135"/>
    <n v="41.860000999999997"/>
    <n v="42.150002000000001"/>
    <n v="41.689999"/>
    <x v="3602"/>
    <n v="36.352058"/>
    <n v="26917000"/>
  </r>
  <r>
    <x v="7136"/>
    <n v="41.73"/>
    <n v="41.900002000000001"/>
    <n v="41.529998999999997"/>
    <x v="3603"/>
    <n v="36.378109000000002"/>
    <n v="20208100"/>
  </r>
  <r>
    <x v="7137"/>
    <n v="41.91"/>
    <n v="41.990001999999997"/>
    <n v="41.560001"/>
    <x v="3604"/>
    <n v="36.291289999999996"/>
    <n v="15969300"/>
  </r>
  <r>
    <x v="7138"/>
    <n v="41.75"/>
    <n v="42.119999"/>
    <n v="41.709999000000003"/>
    <x v="3596"/>
    <n v="36.456242000000003"/>
    <n v="21952400"/>
  </r>
  <r>
    <x v="7139"/>
    <n v="41.869999"/>
    <n v="42"/>
    <n v="41.610000999999997"/>
    <x v="3605"/>
    <n v="36.273918000000002"/>
    <n v="31218200"/>
  </r>
  <r>
    <x v="7140"/>
    <n v="41.98"/>
    <n v="41.990001999999997"/>
    <n v="41.529998999999997"/>
    <x v="3606"/>
    <n v="36.178412999999999"/>
    <n v="18445900"/>
  </r>
  <r>
    <x v="7141"/>
    <n v="41.369999"/>
    <n v="42"/>
    <n v="41.049999"/>
    <x v="3607"/>
    <n v="36.195759000000002"/>
    <n v="21854700"/>
  </r>
  <r>
    <x v="7142"/>
    <n v="41.700001"/>
    <n v="42.09"/>
    <n v="41.48"/>
    <x v="3608"/>
    <n v="36.543072000000002"/>
    <n v="24083000"/>
  </r>
  <r>
    <x v="7143"/>
    <n v="42.220001000000003"/>
    <n v="42.450001"/>
    <n v="42.040000999999997"/>
    <x v="3609"/>
    <n v="36.586472000000001"/>
    <n v="21881100"/>
  </r>
  <r>
    <x v="7144"/>
    <n v="42.330002"/>
    <n v="42.470001000000003"/>
    <n v="42.029998999999997"/>
    <x v="3610"/>
    <n v="36.855614000000003"/>
    <n v="28748700"/>
  </r>
  <r>
    <x v="7145"/>
    <n v="42.509998000000003"/>
    <n v="44.310001"/>
    <n v="42.48"/>
    <x v="3611"/>
    <n v="38.270812999999997"/>
    <n v="63318000"/>
  </r>
  <r>
    <x v="7146"/>
    <n v="45.450001"/>
    <n v="45.709999000000003"/>
    <n v="44.25"/>
    <x v="3612"/>
    <n v="38.661498999999999"/>
    <n v="82180300"/>
  </r>
  <r>
    <x v="7147"/>
    <n v="44.650002000000001"/>
    <n v="44.84"/>
    <n v="44.25"/>
    <x v="3613"/>
    <n v="38.800410999999997"/>
    <n v="43407500"/>
  </r>
  <r>
    <x v="7148"/>
    <n v="44.560001"/>
    <n v="45.16"/>
    <n v="44.220001000000003"/>
    <x v="3614"/>
    <n v="38.930653"/>
    <n v="37604400"/>
  </r>
  <r>
    <x v="7149"/>
    <n v="45"/>
    <n v="45.150002000000001"/>
    <n v="44.59"/>
    <x v="3615"/>
    <n v="38.921962999999998"/>
    <n v="43095800"/>
  </r>
  <r>
    <x v="7150"/>
    <n v="45.450001"/>
    <n v="45.450001"/>
    <n v="44.619999"/>
    <x v="3616"/>
    <n v="38.956696000000001"/>
    <n v="52362900"/>
  </r>
  <r>
    <x v="7151"/>
    <n v="44.93"/>
    <n v="45"/>
    <n v="44.32"/>
    <x v="3617"/>
    <n v="38.548636999999999"/>
    <n v="30725300"/>
  </r>
  <r>
    <x v="7152"/>
    <n v="44.299999"/>
    <n v="44.66"/>
    <n v="44.299999"/>
    <x v="3618"/>
    <n v="38.635455999999998"/>
    <n v="26737700"/>
  </r>
  <r>
    <x v="7153"/>
    <n v="44.360000999999997"/>
    <n v="44.509998000000003"/>
    <n v="43.93"/>
    <x v="3619"/>
    <n v="38.175303999999997"/>
    <n v="29684200"/>
  </r>
  <r>
    <x v="7154"/>
    <n v="43.91"/>
    <n v="44.09"/>
    <n v="43.639999000000003"/>
    <x v="3620"/>
    <n v="38.105854000000001"/>
    <n v="27763100"/>
  </r>
  <r>
    <x v="7155"/>
    <n v="44.07"/>
    <n v="44.099997999999999"/>
    <n v="43.290000999999997"/>
    <x v="3621"/>
    <n v="37.836703999999997"/>
    <n v="31921400"/>
  </r>
  <r>
    <x v="7156"/>
    <n v="43.380001"/>
    <n v="43.689999"/>
    <n v="43.080002"/>
    <x v="3622"/>
    <n v="37.472045999999999"/>
    <n v="31537500"/>
  </r>
  <r>
    <x v="7157"/>
    <n v="43.209999000000003"/>
    <n v="43.25"/>
    <n v="42.599997999999999"/>
    <x v="3623"/>
    <n v="37.211585999999997"/>
    <n v="31170300"/>
  </r>
  <r>
    <x v="7158"/>
    <n v="42.970001000000003"/>
    <n v="43.470001000000003"/>
    <n v="42.810001"/>
    <x v="3624"/>
    <n v="37.654381000000001"/>
    <n v="34277400"/>
  </r>
  <r>
    <x v="7159"/>
    <n v="43.310001"/>
    <n v="43.459999000000003"/>
    <n v="42.830002"/>
    <x v="3625"/>
    <n v="37.402591999999999"/>
    <n v="26266400"/>
  </r>
  <r>
    <x v="7160"/>
    <n v="42.740001999999997"/>
    <n v="43.169998"/>
    <n v="42.209999000000003"/>
    <x v="3626"/>
    <n v="37.107407000000002"/>
    <n v="24634000"/>
  </r>
  <r>
    <x v="7161"/>
    <n v="42.84"/>
    <n v="43.450001"/>
    <n v="42.650002000000001"/>
    <x v="3627"/>
    <n v="37.532822000000003"/>
    <n v="30314900"/>
  </r>
  <r>
    <x v="7162"/>
    <n v="43.23"/>
    <n v="43.32"/>
    <n v="42.91"/>
    <x v="3628"/>
    <n v="37.506779000000002"/>
    <n v="28942700"/>
  </r>
  <r>
    <x v="7163"/>
    <n v="43.259998000000003"/>
    <n v="43.450001"/>
    <n v="43.02"/>
    <x v="3628"/>
    <n v="37.506779000000002"/>
    <n v="20351600"/>
  </r>
  <r>
    <x v="7164"/>
    <n v="43.040000999999997"/>
    <n v="43.59"/>
    <n v="43"/>
    <x v="3629"/>
    <n v="37.784610999999998"/>
    <n v="21431100"/>
  </r>
  <r>
    <x v="7165"/>
    <n v="43.68"/>
    <n v="44.18"/>
    <n v="43.52"/>
    <x v="3611"/>
    <n v="38.270812999999997"/>
    <n v="22889500"/>
  </r>
  <r>
    <x v="7166"/>
    <n v="44.080002"/>
    <n v="44.419998"/>
    <n v="44.009998000000003"/>
    <x v="3630"/>
    <n v="38.435780000000001"/>
    <n v="19313200"/>
  </r>
  <r>
    <x v="7167"/>
    <n v="44.580002"/>
    <n v="44.900002000000001"/>
    <n v="44.400002000000001"/>
    <x v="3631"/>
    <n v="38.887248999999997"/>
    <n v="41611300"/>
  </r>
  <r>
    <x v="7168"/>
    <n v="44.939999"/>
    <n v="45.110000999999997"/>
    <n v="44.68"/>
    <x v="3632"/>
    <n v="39.165066000000003"/>
    <n v="26891100"/>
  </r>
  <r>
    <x v="7169"/>
    <n v="44.970001000000003"/>
    <n v="45.34"/>
    <n v="44.830002"/>
    <x v="3633"/>
    <n v="39.601883000000001"/>
    <n v="28139500"/>
  </r>
  <r>
    <x v="7170"/>
    <n v="45.34"/>
    <n v="45.400002000000001"/>
    <n v="44.900002000000001"/>
    <x v="3634"/>
    <n v="39.269897"/>
    <n v="24770500"/>
  </r>
  <r>
    <x v="7171"/>
    <n v="44.84"/>
    <n v="45.25"/>
    <n v="44.830002"/>
    <x v="3635"/>
    <n v="39.505778999999997"/>
    <n v="22285500"/>
  </r>
  <r>
    <x v="7172"/>
    <n v="45.349997999999999"/>
    <n v="45.470001000000003"/>
    <n v="45.07"/>
    <x v="3636"/>
    <n v="39.444629999999997"/>
    <n v="18294500"/>
  </r>
  <r>
    <x v="7173"/>
    <n v="45.400002000000001"/>
    <n v="45.439999"/>
    <n v="45.040000999999997"/>
    <x v="3637"/>
    <n v="39.462093000000003"/>
    <n v="16910000"/>
  </r>
  <r>
    <x v="7174"/>
    <n v="45.310001"/>
    <n v="45.400002000000001"/>
    <n v="44.939999"/>
    <x v="3638"/>
    <n v="39.322322999999997"/>
    <n v="14873100"/>
  </r>
  <r>
    <x v="7175"/>
    <n v="44.900002000000001"/>
    <n v="45"/>
    <n v="44.759998000000003"/>
    <x v="3616"/>
    <n v="39.200007999999997"/>
    <n v="21287900"/>
  </r>
  <r>
    <x v="7176"/>
    <n v="44.75"/>
    <n v="44.98"/>
    <n v="44.610000999999997"/>
    <x v="3639"/>
    <n v="39.208748"/>
    <n v="17657600"/>
  </r>
  <r>
    <x v="7177"/>
    <n v="45.09"/>
    <n v="45.439999"/>
    <n v="44.860000999999997"/>
    <x v="3640"/>
    <n v="39.689255000000003"/>
    <n v="21607600"/>
  </r>
  <r>
    <x v="7178"/>
    <n v="45.43"/>
    <n v="45.459999000000003"/>
    <n v="44.849997999999999"/>
    <x v="3641"/>
    <n v="39.392207999999997"/>
    <n v="22976800"/>
  </r>
  <r>
    <x v="7179"/>
    <n v="44.529998999999997"/>
    <n v="45.110000999999997"/>
    <n v="44.529998999999997"/>
    <x v="3642"/>
    <n v="39.278644999999997"/>
    <n v="33684500"/>
  </r>
  <r>
    <x v="7180"/>
    <n v="44.740001999999997"/>
    <n v="45.27"/>
    <n v="44.720001000000003"/>
    <x v="3643"/>
    <n v="39.540733000000003"/>
    <n v="26475500"/>
  </r>
  <r>
    <x v="7181"/>
    <n v="45.110000999999997"/>
    <n v="45.93"/>
    <n v="45.110000999999997"/>
    <x v="3644"/>
    <n v="40.108597000000003"/>
    <n v="36939400"/>
  </r>
  <r>
    <x v="7182"/>
    <n v="46.02"/>
    <n v="46.799999"/>
    <n v="45.990001999999997"/>
    <x v="3645"/>
    <n v="40.597824000000003"/>
    <n v="45736700"/>
  </r>
  <r>
    <x v="7183"/>
    <n v="46.470001000000003"/>
    <n v="46.970001000000003"/>
    <n v="46.419998"/>
    <x v="3646"/>
    <n v="40.851173000000003"/>
    <n v="40302400"/>
  </r>
  <r>
    <x v="7184"/>
    <n v="46.82"/>
    <n v="46.939999"/>
    <n v="46.279998999999997"/>
    <x v="3647"/>
    <n v="40.92107"/>
    <n v="27302400"/>
  </r>
  <r>
    <x v="7185"/>
    <n v="46.740001999999997"/>
    <n v="47"/>
    <n v="46.470001000000003"/>
    <x v="1880"/>
    <n v="41.060844000000003"/>
    <n v="29216400"/>
  </r>
  <r>
    <x v="7186"/>
    <n v="46.91"/>
    <n v="47.02"/>
    <n v="46.599997999999999"/>
    <x v="3648"/>
    <n v="40.798763000000001"/>
    <n v="38244700"/>
  </r>
  <r>
    <x v="7187"/>
    <n v="46.540000999999997"/>
    <n v="46.709999000000003"/>
    <n v="46.099997999999999"/>
    <x v="3649"/>
    <n v="40.396892999999999"/>
    <n v="37667600"/>
  </r>
  <r>
    <x v="7188"/>
    <n v="46.389999000000003"/>
    <n v="46.849997999999999"/>
    <n v="46.290000999999997"/>
    <x v="3646"/>
    <n v="40.851173000000003"/>
    <n v="27910600"/>
  </r>
  <r>
    <x v="7189"/>
    <n v="46.259998000000003"/>
    <n v="46.689999"/>
    <n v="46.23"/>
    <x v="3650"/>
    <n v="40.641506"/>
    <n v="38311900"/>
  </r>
  <r>
    <x v="7190"/>
    <n v="46.59"/>
    <n v="46.830002"/>
    <n v="46.459999000000003"/>
    <x v="3651"/>
    <n v="40.781288000000004"/>
    <n v="35556600"/>
  </r>
  <r>
    <x v="7191"/>
    <n v="46.810001"/>
    <n v="47.57"/>
    <n v="46.599997999999999"/>
    <x v="3652"/>
    <n v="41.515148000000003"/>
    <n v="202522400"/>
  </r>
  <r>
    <x v="7192"/>
    <n v="47.299999"/>
    <n v="47.380001"/>
    <n v="46.98"/>
    <x v="3653"/>
    <n v="41.11327"/>
    <n v="38686100"/>
  </r>
  <r>
    <x v="7193"/>
    <n v="46.849997999999999"/>
    <n v="46.98"/>
    <n v="46.470001000000003"/>
    <x v="3654"/>
    <n v="40.676471999999997"/>
    <n v="33430300"/>
  </r>
  <r>
    <x v="7194"/>
    <n v="46.630001"/>
    <n v="47.110000999999997"/>
    <n v="46.34"/>
    <x v="3655"/>
    <n v="41.130744999999997"/>
    <n v="26582700"/>
  </r>
  <r>
    <x v="7195"/>
    <n v="46.880001"/>
    <n v="47.09"/>
    <n v="46.029998999999997"/>
    <x v="3656"/>
    <n v="40.222172"/>
    <n v="33077400"/>
  </r>
  <r>
    <x v="7196"/>
    <n v="45.93"/>
    <n v="46.619999"/>
    <n v="45.759998000000003"/>
    <x v="3657"/>
    <n v="40.545409999999997"/>
    <n v="27078800"/>
  </r>
  <r>
    <x v="7197"/>
    <n v="45.98"/>
    <n v="46.560001"/>
    <n v="45.759998000000003"/>
    <x v="3658"/>
    <n v="40.571612999999999"/>
    <n v="26091000"/>
  </r>
  <r>
    <x v="7198"/>
    <n v="46.369999"/>
    <n v="46.48"/>
    <n v="46.009998000000003"/>
    <x v="3659"/>
    <n v="40.501736000000001"/>
    <n v="33033100"/>
  </r>
  <r>
    <x v="7199"/>
    <n v="46.27"/>
    <n v="46.529998999999997"/>
    <n v="45.849997999999999"/>
    <x v="3660"/>
    <n v="40.099868999999998"/>
    <n v="38088400"/>
  </r>
  <r>
    <x v="7200"/>
    <n v="45.830002"/>
    <n v="46.099997999999999"/>
    <n v="45.639999000000003"/>
    <x v="3661"/>
    <n v="39.977547000000001"/>
    <n v="25119400"/>
  </r>
  <r>
    <x v="7201"/>
    <n v="45.98"/>
    <n v="46.299999"/>
    <n v="45.610000999999997"/>
    <x v="3662"/>
    <n v="40.265846000000003"/>
    <n v="32453200"/>
  </r>
  <r>
    <x v="7202"/>
    <n v="46.119999"/>
    <n v="46.299999"/>
    <n v="45.919998"/>
    <x v="3662"/>
    <n v="40.265846000000003"/>
    <n v="20604000"/>
  </r>
  <r>
    <x v="7203"/>
    <n v="45.860000999999997"/>
    <n v="45.93"/>
    <n v="45.419998"/>
    <x v="3663"/>
    <n v="39.776615"/>
    <n v="25723700"/>
  </r>
  <r>
    <x v="7204"/>
    <n v="45.48"/>
    <n v="46.889999000000003"/>
    <n v="45.34"/>
    <x v="3664"/>
    <n v="40.868651999999997"/>
    <n v="33031000"/>
  </r>
  <r>
    <x v="7205"/>
    <n v="46.5"/>
    <n v="46.799999"/>
    <n v="45.740001999999997"/>
    <x v="3665"/>
    <n v="40.056170999999999"/>
    <n v="34422800"/>
  </r>
  <r>
    <x v="7206"/>
    <n v="45.599997999999999"/>
    <n v="46.119999"/>
    <n v="43.950001"/>
    <x v="3666"/>
    <n v="38.466155999999998"/>
    <n v="51978100"/>
  </r>
  <r>
    <x v="7207"/>
    <n v="43.82"/>
    <n v="44.560001"/>
    <n v="43.490001999999997"/>
    <x v="3667"/>
    <n v="38.134177999999999"/>
    <n v="37100200"/>
  </r>
  <r>
    <x v="7208"/>
    <n v="43.869999"/>
    <n v="44.380001"/>
    <n v="43.560001"/>
    <x v="3668"/>
    <n v="38.204075000000003"/>
    <n v="38115700"/>
  </r>
  <r>
    <x v="7209"/>
    <n v="43"/>
    <n v="43.389999000000003"/>
    <n v="42.099997999999999"/>
    <x v="3669"/>
    <n v="37.758510999999999"/>
    <n v="60218700"/>
  </r>
  <r>
    <x v="7210"/>
    <n v="42.529998999999997"/>
    <n v="43.080002"/>
    <n v="42.220001000000003"/>
    <x v="3626"/>
    <n v="37.339165000000001"/>
    <n v="49040400"/>
  </r>
  <r>
    <x v="7211"/>
    <n v="43.200001"/>
    <n v="43.939999"/>
    <n v="42.790000999999997"/>
    <x v="3670"/>
    <n v="38.116695"/>
    <n v="40683300"/>
  </r>
  <r>
    <x v="7212"/>
    <n v="43.060001"/>
    <n v="44.139999000000003"/>
    <n v="42.810001"/>
    <x v="3611"/>
    <n v="38.509846000000003"/>
    <n v="34527900"/>
  </r>
  <r>
    <x v="7213"/>
    <n v="44.360000999999997"/>
    <n v="44.98"/>
    <n v="44.189999"/>
    <x v="3639"/>
    <n v="39.208748"/>
    <n v="36433800"/>
  </r>
  <r>
    <x v="7214"/>
    <n v="45"/>
    <n v="45.07"/>
    <n v="44.23"/>
    <x v="3671"/>
    <n v="38.771923000000001"/>
    <n v="33570900"/>
  </r>
  <r>
    <x v="7215"/>
    <n v="44.619999"/>
    <n v="45.450001"/>
    <n v="44.529998999999997"/>
    <x v="3672"/>
    <n v="39.331062000000003"/>
    <n v="45451900"/>
  </r>
  <r>
    <x v="7216"/>
    <n v="46.830002"/>
    <n v="46.900002000000001"/>
    <n v="45.18"/>
    <x v="3673"/>
    <n v="40.300797000000003"/>
    <n v="61076700"/>
  </r>
  <r>
    <x v="7217"/>
    <n v="45.709999000000003"/>
    <n v="46.099997999999999"/>
    <n v="45.709999000000003"/>
    <x v="3644"/>
    <n v="40.108597000000003"/>
    <n v="30371300"/>
  </r>
  <r>
    <x v="7218"/>
    <n v="45.860000999999997"/>
    <n v="46.5"/>
    <n v="45.77"/>
    <x v="3674"/>
    <n v="40.615295000000003"/>
    <n v="29049800"/>
  </r>
  <r>
    <x v="7219"/>
    <n v="46.439999"/>
    <n v="46.700001"/>
    <n v="46.34"/>
    <x v="3675"/>
    <n v="40.728862999999997"/>
    <n v="30276100"/>
  </r>
  <r>
    <x v="7220"/>
    <n v="46.32"/>
    <n v="46.32"/>
    <n v="45.77"/>
    <x v="3676"/>
    <n v="40.230899999999998"/>
    <n v="30073900"/>
  </r>
  <r>
    <x v="7221"/>
    <n v="46.939999"/>
    <n v="46.970001000000003"/>
    <n v="46.48"/>
    <x v="3677"/>
    <n v="41.017178000000001"/>
    <n v="35849700"/>
  </r>
  <r>
    <x v="7222"/>
    <n v="46.889999000000003"/>
    <n v="47.459999000000003"/>
    <n v="46.73"/>
    <x v="3678"/>
    <n v="41.445250999999999"/>
    <n v="23130400"/>
  </r>
  <r>
    <x v="7223"/>
    <n v="47.299999"/>
    <n v="47.73"/>
    <n v="47.25"/>
    <x v="3679"/>
    <n v="41.558826000000003"/>
    <n v="21530800"/>
  </r>
  <r>
    <x v="7224"/>
    <n v="47.799999"/>
    <n v="47.900002000000001"/>
    <n v="47.259998000000003"/>
    <x v="3680"/>
    <n v="41.812176000000001"/>
    <n v="22449600"/>
  </r>
  <r>
    <x v="7225"/>
    <n v="47.860000999999997"/>
    <n v="48.860000999999997"/>
    <n v="47.790000999999997"/>
    <x v="3681"/>
    <n v="42.546042999999997"/>
    <n v="33037800"/>
  </r>
  <r>
    <x v="7226"/>
    <n v="48.919998"/>
    <n v="48.919998"/>
    <n v="48.290000999999997"/>
    <x v="3682"/>
    <n v="42.528568"/>
    <n v="28000600"/>
  </r>
  <r>
    <x v="7227"/>
    <n v="48.650002000000001"/>
    <n v="49.150002000000001"/>
    <n v="48.549999"/>
    <x v="3683"/>
    <n v="42.712012999999999"/>
    <n v="36370100"/>
  </r>
  <r>
    <x v="7228"/>
    <n v="48.849997999999999"/>
    <n v="48.950001"/>
    <n v="48.650002000000001"/>
    <x v="3684"/>
    <n v="42.694546000000003"/>
    <n v="23445200"/>
  </r>
  <r>
    <x v="7229"/>
    <n v="48.560001"/>
    <n v="48.919998"/>
    <n v="48.52"/>
    <x v="3685"/>
    <n v="42.615924999999997"/>
    <n v="22722100"/>
  </r>
  <r>
    <x v="7230"/>
    <n v="48.810001"/>
    <n v="49.650002000000001"/>
    <n v="48.709999000000003"/>
    <x v="3686"/>
    <n v="43.341042000000002"/>
    <n v="26210400"/>
  </r>
  <r>
    <x v="7231"/>
    <n v="49.740001999999997"/>
    <n v="50.049999"/>
    <n v="49.389999000000003"/>
    <x v="3687"/>
    <n v="43.314830999999998"/>
    <n v="29081700"/>
  </r>
  <r>
    <x v="7232"/>
    <n v="49.41"/>
    <n v="49.709999000000003"/>
    <n v="49.139999000000003"/>
    <x v="3688"/>
    <n v="43.209994999999999"/>
    <n v="30318600"/>
  </r>
  <r>
    <x v="7233"/>
    <n v="49.130001"/>
    <n v="49.330002"/>
    <n v="48.700001"/>
    <x v="3689"/>
    <n v="42.849544999999999"/>
    <n v="23995500"/>
  </r>
  <r>
    <x v="7234"/>
    <n v="48.66"/>
    <n v="48.75"/>
    <n v="47.93"/>
    <x v="3690"/>
    <n v="42.392391000000003"/>
    <n v="26177500"/>
  </r>
  <r>
    <x v="7235"/>
    <n v="48"/>
    <n v="48.700001"/>
    <n v="47.869999"/>
    <x v="3681"/>
    <n v="42.814380999999997"/>
    <n v="21510600"/>
  </r>
  <r>
    <x v="7236"/>
    <n v="49.02"/>
    <n v="49.049999"/>
    <n v="47.57"/>
    <x v="3691"/>
    <n v="42.181384999999999"/>
    <n v="42884800"/>
  </r>
  <r>
    <x v="7237"/>
    <n v="47.990001999999997"/>
    <n v="48"/>
    <n v="47.389999000000003"/>
    <x v="3692"/>
    <n v="41.838531000000003"/>
    <n v="35434200"/>
  </r>
  <r>
    <x v="7238"/>
    <n v="47.66"/>
    <n v="47.970001000000003"/>
    <n v="47.450001"/>
    <x v="3693"/>
    <n v="41.733027999999997"/>
    <n v="28008000"/>
  </r>
  <r>
    <x v="7239"/>
    <n v="47.490001999999997"/>
    <n v="47.990001999999997"/>
    <n v="47.279998999999997"/>
    <x v="3694"/>
    <n v="41.979191"/>
    <n v="27163600"/>
  </r>
  <r>
    <x v="7240"/>
    <n v="47.950001"/>
    <n v="48.200001"/>
    <n v="47.610000999999997"/>
    <x v="3695"/>
    <n v="42.031936999999999"/>
    <n v="21534400"/>
  </r>
  <r>
    <x v="7241"/>
    <n v="47.880001"/>
    <n v="48.779998999999997"/>
    <n v="47.709999000000003"/>
    <x v="3696"/>
    <n v="42.744038000000003"/>
    <n v="31191600"/>
  </r>
  <r>
    <x v="7242"/>
    <n v="48.84"/>
    <n v="49.049999"/>
    <n v="48.200001"/>
    <x v="3697"/>
    <n v="42.603386"/>
    <n v="25773500"/>
  </r>
  <r>
    <x v="7243"/>
    <n v="48.439999"/>
    <n v="48.5"/>
    <n v="47.810001"/>
    <x v="3698"/>
    <n v="42.269298999999997"/>
    <n v="23534800"/>
  </r>
  <r>
    <x v="7244"/>
    <n v="48.389999000000003"/>
    <n v="49.060001"/>
    <n v="48.200001"/>
    <x v="3699"/>
    <n v="42.937461999999996"/>
    <n v="30320400"/>
  </r>
  <r>
    <x v="7245"/>
    <n v="48.82"/>
    <n v="48.970001000000003"/>
    <n v="48.380001"/>
    <x v="3700"/>
    <n v="42.568218000000002"/>
    <n v="27313400"/>
  </r>
  <r>
    <x v="7246"/>
    <n v="48.259998000000003"/>
    <n v="48.349997999999999"/>
    <n v="47.450001"/>
    <x v="3701"/>
    <n v="41.935223000000001"/>
    <n v="26663100"/>
  </r>
  <r>
    <x v="7247"/>
    <n v="47.110000999999997"/>
    <n v="47.919998"/>
    <n v="47.049999"/>
    <x v="3692"/>
    <n v="41.838531000000003"/>
    <n v="24330500"/>
  </r>
  <r>
    <x v="7248"/>
    <n v="47.580002"/>
    <n v="47.66"/>
    <n v="46.700001"/>
    <x v="3702"/>
    <n v="41.231915000000001"/>
    <n v="30431800"/>
  </r>
  <r>
    <x v="7249"/>
    <n v="47.080002"/>
    <n v="47.740001999999997"/>
    <n v="46.68"/>
    <x v="3703"/>
    <n v="41.469276000000001"/>
    <n v="29060400"/>
  </r>
  <r>
    <x v="7250"/>
    <n v="46.779998999999997"/>
    <n v="47.73"/>
    <n v="46.669998"/>
    <x v="3677"/>
    <n v="41.275879000000003"/>
    <n v="34248400"/>
  </r>
  <r>
    <x v="7251"/>
    <n v="47.200001"/>
    <n v="47.669998"/>
    <n v="46.549999"/>
    <x v="3704"/>
    <n v="41.029716000000001"/>
    <n v="29247800"/>
  </r>
  <r>
    <x v="7252"/>
    <n v="45.900002000000001"/>
    <n v="46.34"/>
    <n v="45.130001"/>
    <x v="3705"/>
    <n v="39.702213"/>
    <n v="47801400"/>
  </r>
  <r>
    <x v="7253"/>
    <n v="45.049999"/>
    <n v="45.950001"/>
    <n v="44.900002000000001"/>
    <x v="3706"/>
    <n v="40.212111999999998"/>
    <n v="34970900"/>
  </r>
  <r>
    <x v="7254"/>
    <n v="46.580002"/>
    <n v="47.52"/>
    <n v="46.34"/>
    <x v="3652"/>
    <n v="41.776989"/>
    <n v="40105600"/>
  </r>
  <r>
    <x v="7255"/>
    <n v="47.630001"/>
    <n v="48.099997999999999"/>
    <n v="47.169998"/>
    <x v="3707"/>
    <n v="41.900073999999996"/>
    <n v="64551200"/>
  </r>
  <r>
    <x v="7256"/>
    <n v="47.779998999999997"/>
    <n v="48.119999"/>
    <n v="47.709999000000003"/>
    <x v="3691"/>
    <n v="42.181384999999999"/>
    <n v="26566000"/>
  </r>
  <r>
    <x v="7257"/>
    <n v="48.369999"/>
    <n v="48.799999"/>
    <n v="48.130001"/>
    <x v="3708"/>
    <n v="42.594588999999999"/>
    <n v="23648100"/>
  </r>
  <r>
    <x v="7258"/>
    <n v="48.639999000000003"/>
    <n v="48.639999000000003"/>
    <n v="48.080002"/>
    <x v="3709"/>
    <n v="42.322066999999997"/>
    <n v="11437800"/>
  </r>
  <r>
    <x v="7259"/>
    <n v="48.41"/>
    <n v="48.41"/>
    <n v="47.82"/>
    <x v="3710"/>
    <n v="42.093487000000003"/>
    <n v="13197800"/>
  </r>
  <r>
    <x v="7260"/>
    <n v="47.700001"/>
    <n v="47.779998999999997"/>
    <n v="47.259998000000003"/>
    <x v="3711"/>
    <n v="41.715449999999997"/>
    <n v="14439500"/>
  </r>
  <r>
    <x v="7261"/>
    <n v="47.439999"/>
    <n v="47.619999"/>
    <n v="46.84"/>
    <x v="3712"/>
    <n v="41.337425000000003"/>
    <n v="16384700"/>
  </r>
  <r>
    <x v="7262"/>
    <n v="46.73"/>
    <n v="47.439999"/>
    <n v="46.450001"/>
    <x v="3713"/>
    <n v="40.836308000000002"/>
    <n v="21552500"/>
  </r>
  <r>
    <x v="7263"/>
    <n v="46.66"/>
    <n v="47.419998"/>
    <n v="46.540000999999997"/>
    <x v="3646"/>
    <n v="41.108832999999997"/>
    <n v="27913900"/>
  </r>
  <r>
    <x v="7264"/>
    <n v="46.369999"/>
    <n v="46.73"/>
    <n v="46.25"/>
    <x v="3714"/>
    <n v="40.730812"/>
    <n v="39673900"/>
  </r>
  <r>
    <x v="7265"/>
    <n v="46.380001"/>
    <n v="46.75"/>
    <n v="45.540000999999997"/>
    <x v="3715"/>
    <n v="40.132987999999997"/>
    <n v="36447900"/>
  </r>
  <r>
    <x v="7266"/>
    <n v="45.98"/>
    <n v="46.459999000000003"/>
    <n v="45.490001999999997"/>
    <x v="3716"/>
    <n v="40.642882999999998"/>
    <n v="29114100"/>
  </r>
  <r>
    <x v="7267"/>
    <n v="46.75"/>
    <n v="47.75"/>
    <n v="46.720001000000003"/>
    <x v="3692"/>
    <n v="41.838531000000003"/>
    <n v="29645200"/>
  </r>
  <r>
    <x v="7268"/>
    <n v="47.610000999999997"/>
    <n v="47.82"/>
    <n v="46.900002000000001"/>
    <x v="3717"/>
    <n v="41.486874"/>
    <n v="23944200"/>
  </r>
  <r>
    <x v="7269"/>
    <n v="47.419998"/>
    <n v="47.540000999999997"/>
    <n v="46.360000999999997"/>
    <x v="3718"/>
    <n v="40.968170000000001"/>
    <n v="23651900"/>
  </r>
  <r>
    <x v="7270"/>
    <n v="46.970001000000003"/>
    <n v="47.91"/>
    <n v="46.060001"/>
    <x v="3659"/>
    <n v="40.757187000000002"/>
    <n v="35270600"/>
  </r>
  <r>
    <x v="7271"/>
    <n v="45.959999000000003"/>
    <n v="46.240001999999997"/>
    <n v="45.619999"/>
    <x v="3719"/>
    <n v="40.405518000000001"/>
    <n v="29719600"/>
  </r>
  <r>
    <x v="7272"/>
    <n v="46.220001000000003"/>
    <n v="46.380001"/>
    <n v="45.41"/>
    <x v="3720"/>
    <n v="39.983539999999998"/>
    <n v="32750800"/>
  </r>
  <r>
    <x v="7273"/>
    <n v="45.310001"/>
    <n v="46.279998999999997"/>
    <n v="45.169998"/>
    <x v="3649"/>
    <n v="40.651691"/>
    <n v="35695300"/>
  </r>
  <r>
    <x v="7274"/>
    <n v="46.299999"/>
    <n v="46.650002000000001"/>
    <n v="45.57"/>
    <x v="3721"/>
    <n v="40.783557999999999"/>
    <n v="36161900"/>
  </r>
  <r>
    <x v="7275"/>
    <n v="45.939999"/>
    <n v="46.139999000000003"/>
    <n v="45.48"/>
    <x v="3722"/>
    <n v="40.370350000000002"/>
    <n v="39081100"/>
  </r>
  <r>
    <x v="7276"/>
    <n v="46.380001"/>
    <n v="47.139999000000003"/>
    <n v="46.080002"/>
    <x v="3723"/>
    <n v="41.43412"/>
    <n v="35898000"/>
  </r>
  <r>
    <x v="7277"/>
    <n v="47.360000999999997"/>
    <n v="47.389999000000003"/>
    <n v="46.799999"/>
    <x v="3724"/>
    <n v="41.478068999999998"/>
    <n v="26211600"/>
  </r>
  <r>
    <x v="7278"/>
    <n v="47"/>
    <n v="47.130001"/>
    <n v="46.240001999999997"/>
    <x v="3725"/>
    <n v="41.328628999999999"/>
    <n v="42525500"/>
  </r>
  <r>
    <x v="7279"/>
    <n v="42.950001"/>
    <n v="43.200001"/>
    <n v="42.110000999999997"/>
    <x v="3726"/>
    <n v="37.504340999999997"/>
    <n v="169164000"/>
  </r>
  <r>
    <x v="7280"/>
    <n v="42.740001999999997"/>
    <n v="42.790000999999997"/>
    <n v="41.16"/>
    <x v="3727"/>
    <n v="36.211993999999997"/>
    <n v="84507100"/>
  </r>
  <r>
    <x v="7281"/>
    <n v="40.93"/>
    <n v="42.119999"/>
    <n v="40.790000999999997"/>
    <x v="3728"/>
    <n v="36.932892000000002"/>
    <n v="63585300"/>
  </r>
  <r>
    <x v="7282"/>
    <n v="41.549999"/>
    <n v="41.580002"/>
    <n v="40.349997999999999"/>
    <x v="3557"/>
    <n v="35.517474999999997"/>
    <n v="78004900"/>
  </r>
  <r>
    <x v="7283"/>
    <n v="40.590000000000003"/>
    <n v="41.369999"/>
    <n v="40.229999999999997"/>
    <x v="3729"/>
    <n v="36.291122000000001"/>
    <n v="50352500"/>
  </r>
  <r>
    <x v="7284"/>
    <n v="41.630001"/>
    <n v="41.93"/>
    <n v="41.049999"/>
    <x v="3730"/>
    <n v="36.572445000000002"/>
    <n v="52082400"/>
  </r>
  <r>
    <x v="7285"/>
    <n v="41.939999"/>
    <n v="42.209999000000003"/>
    <n v="41.360000999999997"/>
    <x v="3731"/>
    <n v="36.783436000000002"/>
    <n v="41614800"/>
  </r>
  <r>
    <x v="7286"/>
    <n v="42.220001000000003"/>
    <n v="42.639999000000003"/>
    <n v="41.860000999999997"/>
    <x v="3610"/>
    <n v="37.319724999999998"/>
    <n v="36548200"/>
  </r>
  <r>
    <x v="7287"/>
    <n v="42.68"/>
    <n v="42.790000999999997"/>
    <n v="42.150002000000001"/>
    <x v="3732"/>
    <n v="37.284550000000003"/>
    <n v="34616600"/>
  </r>
  <r>
    <x v="7288"/>
    <n v="42.240001999999997"/>
    <n v="42.740001999999997"/>
    <n v="42.209999000000003"/>
    <x v="3733"/>
    <n v="37.240592999999997"/>
    <n v="31381100"/>
  </r>
  <r>
    <x v="7289"/>
    <n v="42.740001999999997"/>
    <n v="42.77"/>
    <n v="42.18"/>
    <x v="3734"/>
    <n v="37.451588000000001"/>
    <n v="29670700"/>
  </r>
  <r>
    <x v="7290"/>
    <n v="42.650002000000001"/>
    <n v="42.650002000000001"/>
    <n v="42.209999000000003"/>
    <x v="3735"/>
    <n v="37.258183000000002"/>
    <n v="38262500"/>
  </r>
  <r>
    <x v="7291"/>
    <n v="42.66"/>
    <n v="43.09"/>
    <n v="42.509998000000003"/>
    <x v="3736"/>
    <n v="37.882373999999999"/>
    <n v="33268800"/>
  </r>
  <r>
    <x v="7292"/>
    <n v="43.380001"/>
    <n v="43.869999"/>
    <n v="43.150002000000001"/>
    <x v="3737"/>
    <n v="38.568108000000002"/>
    <n v="40264900"/>
  </r>
  <r>
    <x v="7293"/>
    <n v="43.970001000000003"/>
    <n v="44"/>
    <n v="43.189999"/>
    <x v="3621"/>
    <n v="38.585822999999998"/>
    <n v="33695700"/>
  </r>
  <r>
    <x v="7294"/>
    <n v="43.630001"/>
    <n v="43.700001"/>
    <n v="43.389999000000003"/>
    <x v="3738"/>
    <n v="38.541553"/>
    <n v="27111700"/>
  </r>
  <r>
    <x v="7295"/>
    <n v="43.18"/>
    <n v="43.529998999999997"/>
    <n v="43.049999"/>
    <x v="1750"/>
    <n v="38.514980000000001"/>
    <n v="27603400"/>
  </r>
  <r>
    <x v="7296"/>
    <n v="43.509998000000003"/>
    <n v="43.880001"/>
    <n v="43.290000999999997"/>
    <x v="3739"/>
    <n v="38.833728999999998"/>
    <n v="29721100"/>
  </r>
  <r>
    <x v="7297"/>
    <n v="43.700001"/>
    <n v="44.189999"/>
    <n v="43.650002000000001"/>
    <x v="3740"/>
    <n v="39.090499999999999"/>
    <n v="32518800"/>
  </r>
  <r>
    <x v="7298"/>
    <n v="44.150002000000001"/>
    <n v="44.299999"/>
    <n v="43.919998"/>
    <x v="3741"/>
    <n v="39.037379999999999"/>
    <n v="25271700"/>
  </r>
  <r>
    <x v="7299"/>
    <n v="43.950001"/>
    <n v="44.09"/>
    <n v="43.799999"/>
    <x v="3742"/>
    <n v="38.948833"/>
    <n v="29759800"/>
  </r>
  <r>
    <x v="7300"/>
    <n v="43.990001999999997"/>
    <n v="44.23"/>
    <n v="43.889999000000003"/>
    <x v="3743"/>
    <n v="39.010818"/>
    <n v="28957300"/>
  </r>
  <r>
    <x v="7301"/>
    <n v="44.130001"/>
    <n v="44.200001"/>
    <n v="43.66"/>
    <x v="3744"/>
    <n v="38.824871000000002"/>
    <n v="33807700"/>
  </r>
  <r>
    <x v="7302"/>
    <n v="43.669998"/>
    <n v="44.189999"/>
    <n v="43.549999"/>
    <x v="3745"/>
    <n v="38.851424999999999"/>
    <n v="31924000"/>
  </r>
  <r>
    <x v="7303"/>
    <n v="43.560001"/>
    <n v="43.830002"/>
    <n v="43.09"/>
    <x v="3746"/>
    <n v="38.320197999999998"/>
    <n v="31748600"/>
  </r>
  <r>
    <x v="7304"/>
    <n v="43.009998000000003"/>
    <n v="43.209999000000003"/>
    <n v="42.880001"/>
    <x v="3747"/>
    <n v="38.125404000000003"/>
    <n v="25748700"/>
  </r>
  <r>
    <x v="7305"/>
    <n v="43.07"/>
    <n v="43.240001999999997"/>
    <n v="42.82"/>
    <x v="3748"/>
    <n v="38.169682000000002"/>
    <n v="23193500"/>
  </r>
  <r>
    <x v="7306"/>
    <n v="43"/>
    <n v="43.110000999999997"/>
    <n v="42.150002000000001"/>
    <x v="3733"/>
    <n v="37.505623"/>
    <n v="36248800"/>
  </r>
  <r>
    <x v="7307"/>
    <n v="42.189999"/>
    <n v="43.130001"/>
    <n v="42.189999"/>
    <x v="3749"/>
    <n v="37.939480000000003"/>
    <n v="32108000"/>
  </r>
  <r>
    <x v="7308"/>
    <n v="42.349997999999999"/>
    <n v="42.709999000000003"/>
    <n v="42.029998999999997"/>
    <x v="3598"/>
    <n v="37.213444000000003"/>
    <n v="39159700"/>
  </r>
  <r>
    <x v="7309"/>
    <n v="42.310001"/>
    <n v="42.369999"/>
    <n v="41.84"/>
    <x v="3750"/>
    <n v="37.169167000000002"/>
    <n v="32215300"/>
  </r>
  <r>
    <x v="7310"/>
    <n v="41.330002"/>
    <n v="41.650002000000001"/>
    <n v="40.860000999999997"/>
    <x v="3751"/>
    <n v="36.319183000000002"/>
    <n v="59992500"/>
  </r>
  <r>
    <x v="7311"/>
    <n v="40.700001"/>
    <n v="41.470001000000003"/>
    <n v="40.610000999999997"/>
    <x v="3752"/>
    <n v="36.637931999999999"/>
    <n v="58007700"/>
  </r>
  <r>
    <x v="7312"/>
    <n v="41.470001000000003"/>
    <n v="41.639999000000003"/>
    <n v="41.279998999999997"/>
    <x v="3753"/>
    <n v="36.797302000000002"/>
    <n v="35273500"/>
  </r>
  <r>
    <x v="7313"/>
    <n v="41.369999"/>
    <n v="41.830002"/>
    <n v="41.150002000000001"/>
    <x v="3601"/>
    <n v="36.921245999999996"/>
    <n v="31673400"/>
  </r>
  <r>
    <x v="7314"/>
    <n v="41.43"/>
    <n v="42.830002"/>
    <n v="41.330002"/>
    <x v="1835"/>
    <n v="37.629584999999999"/>
    <n v="44194800"/>
  </r>
  <r>
    <x v="7315"/>
    <n v="42.259998000000003"/>
    <n v="42.59"/>
    <n v="42.220001000000003"/>
    <x v="3754"/>
    <n v="37.443652999999998"/>
    <n v="33879100"/>
  </r>
  <r>
    <x v="7316"/>
    <n v="42.560001"/>
    <n v="42.98"/>
    <n v="42.490001999999997"/>
    <x v="3755"/>
    <n v="37.966042000000002"/>
    <n v="71904500"/>
  </r>
  <r>
    <x v="7317"/>
    <n v="42.880001"/>
    <n v="43.130001"/>
    <n v="42.779998999999997"/>
    <x v="3623"/>
    <n v="37.948329999999999"/>
    <n v="26246100"/>
  </r>
  <r>
    <x v="7318"/>
    <n v="42.779998999999997"/>
    <n v="43.169998"/>
    <n v="42.75"/>
    <x v="3756"/>
    <n v="37.983749000000003"/>
    <n v="25513300"/>
  </r>
  <r>
    <x v="7319"/>
    <n v="42.919998"/>
    <n v="42.93"/>
    <n v="41.439999"/>
    <x v="3757"/>
    <n v="36.708759000000001"/>
    <n v="43469900"/>
  </r>
  <r>
    <x v="7320"/>
    <n v="41.220001000000003"/>
    <n v="41.610000999999997"/>
    <n v="40.919998"/>
    <x v="3585"/>
    <n v="36.487423"/>
    <n v="37495600"/>
  </r>
  <r>
    <x v="7321"/>
    <n v="41.119999"/>
    <n v="41.43"/>
    <n v="40.830002"/>
    <x v="3758"/>
    <n v="36.274914000000003"/>
    <n v="34401400"/>
  </r>
  <r>
    <x v="7322"/>
    <n v="41.099997999999999"/>
    <n v="41.540000999999997"/>
    <n v="40.909999999999997"/>
    <x v="3759"/>
    <n v="36.266064"/>
    <n v="35049700"/>
  </r>
  <r>
    <x v="7323"/>
    <n v="40.779998999999997"/>
    <n v="41.029998999999997"/>
    <n v="40.540000999999997"/>
    <x v="3760"/>
    <n v="36.000430999999999"/>
    <n v="34887200"/>
  </r>
  <r>
    <x v="7324"/>
    <n v="40.599997999999999"/>
    <n v="40.759998000000003"/>
    <n v="40.310001"/>
    <x v="3761"/>
    <n v="36.053570000000001"/>
    <n v="36865300"/>
  </r>
  <r>
    <x v="7325"/>
    <n v="40.659999999999997"/>
    <n v="40.740001999999997"/>
    <n v="40.119999"/>
    <x v="3583"/>
    <n v="35.672840000000001"/>
    <n v="37487500"/>
  </r>
  <r>
    <x v="7326"/>
    <n v="40.340000000000003"/>
    <n v="41.779998999999997"/>
    <n v="40.18"/>
    <x v="3762"/>
    <n v="36.788445000000003"/>
    <n v="39223700"/>
  </r>
  <r>
    <x v="7327"/>
    <n v="41.610000999999997"/>
    <n v="41.91"/>
    <n v="41.310001"/>
    <x v="3763"/>
    <n v="36.770736999999997"/>
    <n v="28809400"/>
  </r>
  <r>
    <x v="7328"/>
    <n v="41.459999000000003"/>
    <n v="41.689999"/>
    <n v="41.040000999999997"/>
    <x v="3548"/>
    <n v="36.673344"/>
    <n v="24753400"/>
  </r>
  <r>
    <x v="7329"/>
    <n v="41.25"/>
    <n v="41.619999"/>
    <n v="41.25"/>
    <x v="3586"/>
    <n v="36.726478999999998"/>
    <n v="25723900"/>
  </r>
  <r>
    <x v="7330"/>
    <n v="41.630001"/>
    <n v="41.950001"/>
    <n v="41.41"/>
    <x v="3599"/>
    <n v="36.938960999999999"/>
    <n v="28022000"/>
  </r>
  <r>
    <x v="7331"/>
    <n v="41.400002000000001"/>
    <n v="42.060001"/>
    <n v="41.389999000000003"/>
    <x v="3764"/>
    <n v="36.974387999999998"/>
    <n v="30276700"/>
  </r>
  <r>
    <x v="7332"/>
    <n v="41.799999"/>
    <n v="42.029998999999997"/>
    <n v="41.389999000000003"/>
    <x v="3594"/>
    <n v="36.876987"/>
    <n v="24244400"/>
  </r>
  <r>
    <x v="7333"/>
    <n v="41.759998000000003"/>
    <n v="42.459999000000003"/>
    <n v="41.68"/>
    <x v="3765"/>
    <n v="37.417084000000003"/>
    <n v="27343600"/>
  </r>
  <r>
    <x v="7334"/>
    <n v="41.950001"/>
    <n v="42.34"/>
    <n v="41.82"/>
    <x v="3766"/>
    <n v="37.328547999999998"/>
    <n v="22509700"/>
  </r>
  <r>
    <x v="7335"/>
    <n v="41.669998"/>
    <n v="41.740001999999997"/>
    <n v="41.16"/>
    <x v="3767"/>
    <n v="36.850422000000002"/>
    <n v="42387600"/>
  </r>
  <r>
    <x v="7336"/>
    <n v="41.73"/>
    <n v="43.169998"/>
    <n v="41.68"/>
    <x v="3768"/>
    <n v="37.992603000000003"/>
    <n v="46057700"/>
  </r>
  <r>
    <x v="7337"/>
    <n v="43"/>
    <n v="43.150002000000001"/>
    <n v="42.529998999999997"/>
    <x v="3769"/>
    <n v="37.753540000000001"/>
    <n v="26013800"/>
  </r>
  <r>
    <x v="7338"/>
    <n v="42.669998"/>
    <n v="43.130001"/>
    <n v="42.549999"/>
    <x v="3770"/>
    <n v="38.063434999999998"/>
    <n v="25064300"/>
  </r>
  <r>
    <x v="7339"/>
    <n v="42.889999000000003"/>
    <n v="43.610000999999997"/>
    <n v="42.799999"/>
    <x v="3771"/>
    <n v="38.373314000000001"/>
    <n v="46309500"/>
  </r>
  <r>
    <x v="7340"/>
    <n v="45.66"/>
    <n v="48.139999000000003"/>
    <n v="45.650002000000001"/>
    <x v="3772"/>
    <n v="42.384189999999997"/>
    <n v="130933700"/>
  </r>
  <r>
    <x v="7341"/>
    <n v="47.23"/>
    <n v="48.130001"/>
    <n v="47.220001000000003"/>
    <x v="3773"/>
    <n v="42.525848000000003"/>
    <n v="59248200"/>
  </r>
  <r>
    <x v="7342"/>
    <n v="47.779998999999997"/>
    <n v="49.209999000000003"/>
    <n v="47.700001"/>
    <x v="3774"/>
    <n v="43.526363000000003"/>
    <n v="60730800"/>
  </r>
  <r>
    <x v="7343"/>
    <n v="48.720001000000003"/>
    <n v="49.310001"/>
    <n v="48.5"/>
    <x v="3775"/>
    <n v="43.437809000000001"/>
    <n v="47804600"/>
  </r>
  <r>
    <x v="7344"/>
    <n v="48.700001"/>
    <n v="49.540000999999997"/>
    <n v="48.599997999999999"/>
    <x v="3776"/>
    <n v="43.065936999999998"/>
    <n v="64725500"/>
  </r>
  <r>
    <x v="7345"/>
    <n v="48.580002"/>
    <n v="48.880001"/>
    <n v="48.400002000000001"/>
    <x v="3777"/>
    <n v="43.083663999999999"/>
    <n v="38937300"/>
  </r>
  <r>
    <x v="7346"/>
    <n v="48.369999"/>
    <n v="48.869999"/>
    <n v="48.18"/>
    <x v="3778"/>
    <n v="42.711796"/>
    <n v="34039500"/>
  </r>
  <r>
    <x v="7347"/>
    <n v="47.82"/>
    <n v="48.16"/>
    <n v="47.310001"/>
    <x v="3779"/>
    <n v="42.145125999999998"/>
    <n v="50369200"/>
  </r>
  <r>
    <x v="7348"/>
    <n v="47.57"/>
    <n v="47.77"/>
    <n v="46.02"/>
    <x v="3780"/>
    <n v="40.976402"/>
    <n v="52433000"/>
  </r>
  <r>
    <x v="7349"/>
    <n v="46.27"/>
    <n v="47.09"/>
    <n v="46.16"/>
    <x v="3648"/>
    <n v="41.348267"/>
    <n v="32971700"/>
  </r>
  <r>
    <x v="7350"/>
    <n v="47.549999"/>
    <n v="47.98"/>
    <n v="47.52"/>
    <x v="3694"/>
    <n v="42.277943"/>
    <n v="35364900"/>
  </r>
  <r>
    <x v="7351"/>
    <n v="47.549999"/>
    <n v="47.91"/>
    <n v="47.369999"/>
    <x v="3781"/>
    <n v="41.941485999999998"/>
    <n v="24609400"/>
  </r>
  <r>
    <x v="7352"/>
    <n v="46.849997999999999"/>
    <n v="47.68"/>
    <n v="46.419998"/>
    <x v="3782"/>
    <n v="41.923771000000002"/>
    <n v="29928300"/>
  </r>
  <r>
    <x v="7353"/>
    <n v="48.189999"/>
    <n v="48.32"/>
    <n v="47.57"/>
    <x v="3783"/>
    <n v="42.171692"/>
    <n v="34184600"/>
  </r>
  <r>
    <x v="7354"/>
    <n v="48.029998999999997"/>
    <n v="48.82"/>
    <n v="48.029998999999997"/>
    <x v="3784"/>
    <n v="43.136780000000002"/>
    <n v="32980900"/>
  </r>
  <r>
    <x v="7355"/>
    <n v="48.869999"/>
    <n v="48.91"/>
    <n v="48.049999"/>
    <x v="3785"/>
    <n v="42.764915000000002"/>
    <n v="28642700"/>
  </r>
  <r>
    <x v="7356"/>
    <n v="47.98"/>
    <n v="48.220001000000003"/>
    <n v="47.610000999999997"/>
    <x v="3786"/>
    <n v="42.508147999999998"/>
    <n v="24136500"/>
  </r>
  <r>
    <x v="7357"/>
    <n v="47.560001"/>
    <n v="47.810001"/>
    <n v="47.18"/>
    <x v="3787"/>
    <n v="42.401211000000004"/>
    <n v="28574800"/>
  </r>
  <r>
    <x v="7358"/>
    <n v="47.389999000000003"/>
    <n v="47.93"/>
    <n v="47.27"/>
    <x v="3787"/>
    <n v="42.401211000000004"/>
    <n v="25047900"/>
  </r>
  <r>
    <x v="7359"/>
    <n v="47.279998999999997"/>
    <n v="47.599997999999999"/>
    <n v="47.009998000000003"/>
    <x v="3788"/>
    <n v="42.258614000000001"/>
    <n v="22410700"/>
  </r>
  <r>
    <x v="7360"/>
    <n v="47.299999"/>
    <n v="47.349997999999999"/>
    <n v="46.82"/>
    <x v="3702"/>
    <n v="41.795219000000003"/>
    <n v="25720600"/>
  </r>
  <r>
    <x v="7361"/>
    <n v="46.830002"/>
    <n v="46.880001"/>
    <n v="46.189999"/>
    <x v="3789"/>
    <n v="41.518954999999998"/>
    <n v="29581900"/>
  </r>
  <r>
    <x v="7362"/>
    <n v="46.82"/>
    <n v="47.77"/>
    <n v="46.619999"/>
    <x v="3790"/>
    <n v="42.427928999999999"/>
    <n v="27335600"/>
  </r>
  <r>
    <x v="7363"/>
    <n v="47.5"/>
    <n v="48.02"/>
    <n v="47.389999000000003"/>
    <x v="3711"/>
    <n v="42.285350999999999"/>
    <n v="19283700"/>
  </r>
  <r>
    <x v="7364"/>
    <n v="47.43"/>
    <n v="47.57"/>
    <n v="46.59"/>
    <x v="3791"/>
    <n v="41.759571000000001"/>
    <n v="36519600"/>
  </r>
  <r>
    <x v="7365"/>
    <n v="47.060001"/>
    <n v="47.77"/>
    <n v="46.619999"/>
    <x v="3792"/>
    <n v="42.089302000000004"/>
    <n v="28837300"/>
  </r>
  <r>
    <x v="7366"/>
    <n v="46.93"/>
    <n v="47.349997999999999"/>
    <n v="46.619999"/>
    <x v="3793"/>
    <n v="41.813048999999999"/>
    <n v="21498300"/>
  </r>
  <r>
    <x v="7367"/>
    <n v="47.369999"/>
    <n v="47.740001999999997"/>
    <n v="46.82"/>
    <x v="3794"/>
    <n v="41.750660000000003"/>
    <n v="28002200"/>
  </r>
  <r>
    <x v="7368"/>
    <n v="46.790000999999997"/>
    <n v="47.16"/>
    <n v="46.200001"/>
    <x v="3659"/>
    <n v="41.314003"/>
    <n v="27745500"/>
  </r>
  <r>
    <x v="7369"/>
    <n v="46.310001"/>
    <n v="46.52"/>
    <n v="45.84"/>
    <x v="3795"/>
    <n v="41.117930999999999"/>
    <n v="25438100"/>
  </r>
  <r>
    <x v="7370"/>
    <n v="46.299999"/>
    <n v="46.43"/>
    <n v="45.669998"/>
    <x v="3796"/>
    <n v="40.752563000000002"/>
    <n v="22121600"/>
  </r>
  <r>
    <x v="7371"/>
    <n v="45.759998000000003"/>
    <n v="45.939999"/>
    <n v="45.459999000000003"/>
    <x v="3715"/>
    <n v="40.681277999999999"/>
    <n v="24406100"/>
  </r>
  <r>
    <x v="7372"/>
    <n v="45.790000999999997"/>
    <n v="46.830002"/>
    <n v="45.689999"/>
    <x v="3797"/>
    <n v="41.536788999999999"/>
    <n v="28417400"/>
  </r>
  <r>
    <x v="7373"/>
    <n v="46.66"/>
    <n v="46.919998"/>
    <n v="46.130001"/>
    <x v="3658"/>
    <n v="41.385280999999999"/>
    <n v="27347800"/>
  </r>
  <r>
    <x v="7374"/>
    <n v="46.220001000000003"/>
    <n v="46.470001000000003"/>
    <n v="45.900002000000001"/>
    <x v="3798"/>
    <n v="40.966437999999997"/>
    <n v="23931000"/>
  </r>
  <r>
    <x v="7375"/>
    <n v="45.450001"/>
    <n v="45.650002000000001"/>
    <n v="45.02"/>
    <x v="3720"/>
    <n v="40.529789000000001"/>
    <n v="33254500"/>
  </r>
  <r>
    <x v="7376"/>
    <n v="45.349997999999999"/>
    <n v="46.240001999999997"/>
    <n v="45.299999"/>
    <x v="3799"/>
    <n v="40.841686000000003"/>
    <n v="27070300"/>
  </r>
  <r>
    <x v="7377"/>
    <n v="45.73"/>
    <n v="46.07"/>
    <n v="45.360000999999997"/>
    <x v="3798"/>
    <n v="40.966437999999997"/>
    <n v="28704100"/>
  </r>
  <r>
    <x v="7378"/>
    <n v="46.220001000000003"/>
    <n v="46.799999"/>
    <n v="46.169998"/>
    <x v="3800"/>
    <n v="41.634810999999999"/>
    <n v="32658300"/>
  </r>
  <r>
    <x v="7379"/>
    <n v="46.790000999999997"/>
    <n v="46.830002"/>
    <n v="45.990001999999997"/>
    <x v="3801"/>
    <n v="41.082298000000002"/>
    <n v="63837000"/>
  </r>
  <r>
    <x v="7380"/>
    <n v="46.330002"/>
    <n v="46.720001000000003"/>
    <n v="46.16"/>
    <x v="3716"/>
    <n v="41.198143000000002"/>
    <n v="20318100"/>
  </r>
  <r>
    <x v="7381"/>
    <n v="46.130001"/>
    <n v="46.279998999999997"/>
    <n v="45.619999"/>
    <x v="3644"/>
    <n v="40.912975000000003"/>
    <n v="25896500"/>
  </r>
  <r>
    <x v="7382"/>
    <n v="45.669998"/>
    <n v="46.25"/>
    <n v="45.549999"/>
    <x v="3802"/>
    <n v="40.672356000000001"/>
    <n v="34890900"/>
  </r>
  <r>
    <x v="7383"/>
    <n v="46.029998999999997"/>
    <n v="46.060001"/>
    <n v="45.5"/>
    <x v="3715"/>
    <n v="40.681277999999999"/>
    <n v="20616000"/>
  </r>
  <r>
    <x v="7384"/>
    <n v="45.650002000000001"/>
    <n v="46.279998999999997"/>
    <n v="45.029998999999997"/>
    <x v="3643"/>
    <n v="40.333720999999997"/>
    <n v="49835300"/>
  </r>
  <r>
    <x v="7385"/>
    <n v="45.040000999999997"/>
    <n v="45.23"/>
    <n v="44.360000999999997"/>
    <x v="3803"/>
    <n v="39.540596000000001"/>
    <n v="34081700"/>
  </r>
  <r>
    <x v="7386"/>
    <n v="44.709999000000003"/>
    <n v="44.720001000000003"/>
    <n v="43.939999"/>
    <x v="3740"/>
    <n v="39.344540000000002"/>
    <n v="35945400"/>
  </r>
  <r>
    <x v="7387"/>
    <n v="44.459999000000003"/>
    <n v="45.23"/>
    <n v="44.099997999999999"/>
    <x v="3804"/>
    <n v="39.611888999999998"/>
    <n v="28343900"/>
  </r>
  <r>
    <x v="7388"/>
    <n v="44.48"/>
    <n v="44.75"/>
    <n v="44.060001"/>
    <x v="3617"/>
    <n v="39.567326000000001"/>
    <n v="21752000"/>
  </r>
  <r>
    <x v="7389"/>
    <n v="43.959999000000003"/>
    <n v="44.48"/>
    <n v="43.950001"/>
    <x v="3805"/>
    <n v="39.558422"/>
    <n v="23034000"/>
  </r>
  <r>
    <x v="7390"/>
    <n v="44.34"/>
    <n v="44.490001999999997"/>
    <n v="43.32"/>
    <x v="3806"/>
    <n v="39.478214000000001"/>
    <n v="36435800"/>
  </r>
  <r>
    <x v="7391"/>
    <n v="44.439999"/>
    <n v="44.900002000000001"/>
    <n v="44.029998999999997"/>
    <x v="3807"/>
    <n v="39.424743999999997"/>
    <n v="39785900"/>
  </r>
  <r>
    <x v="7392"/>
    <n v="44.75"/>
    <n v="45.220001000000003"/>
    <n v="44.5"/>
    <x v="3808"/>
    <n v="39.674263000000003"/>
    <n v="32424700"/>
  </r>
  <r>
    <x v="7393"/>
    <n v="45.009998000000003"/>
    <n v="45.139999000000003"/>
    <n v="44.57"/>
    <x v="3809"/>
    <n v="39.754477999999999"/>
    <n v="25465800"/>
  </r>
  <r>
    <x v="7394"/>
    <n v="44.98"/>
    <n v="45.619999"/>
    <n v="44.950001"/>
    <x v="3810"/>
    <n v="40.583247999999998"/>
    <n v="28178300"/>
  </r>
  <r>
    <x v="7395"/>
    <n v="45.450001"/>
    <n v="45.959999000000003"/>
    <n v="45.310001"/>
    <x v="3811"/>
    <n v="40.654541000000002"/>
    <n v="22880300"/>
  </r>
  <r>
    <x v="7396"/>
    <n v="45.68"/>
    <n v="45.889999000000003"/>
    <n v="45.43"/>
    <x v="3661"/>
    <n v="40.779300999999997"/>
    <n v="26629600"/>
  </r>
  <r>
    <x v="7397"/>
    <n v="46.009998000000003"/>
    <n v="46.689999"/>
    <n v="45.970001000000003"/>
    <x v="3812"/>
    <n v="41.581352000000003"/>
    <n v="26271700"/>
  </r>
  <r>
    <x v="7398"/>
    <n v="46.549999"/>
    <n v="46.779998999999997"/>
    <n v="46.259998000000003"/>
    <x v="3675"/>
    <n v="41.545689000000003"/>
    <n v="29467100"/>
  </r>
  <r>
    <x v="7399"/>
    <n v="46.650002000000001"/>
    <n v="47.130001"/>
    <n v="46.439999"/>
    <x v="3793"/>
    <n v="41.813048999999999"/>
    <n v="30631900"/>
  </r>
  <r>
    <x v="7400"/>
    <n v="46.779998999999997"/>
    <n v="47.330002"/>
    <n v="46.48"/>
    <x v="3813"/>
    <n v="42.133862000000001"/>
    <n v="42781900"/>
  </r>
  <r>
    <x v="7401"/>
    <n v="45.439999"/>
    <n v="46.93"/>
    <n v="45.200001"/>
    <x v="3810"/>
    <n v="40.583247999999998"/>
    <n v="59152400"/>
  </r>
  <r>
    <x v="7402"/>
    <n v="45.27"/>
    <n v="46.23"/>
    <n v="45.099997999999999"/>
    <x v="3814"/>
    <n v="41.091206"/>
    <n v="33934000"/>
  </r>
  <r>
    <x v="7403"/>
    <n v="45.91"/>
    <n v="46.32"/>
    <n v="45.799999"/>
    <x v="3815"/>
    <n v="40.939709000000001"/>
    <n v="32333200"/>
  </r>
  <r>
    <x v="7404"/>
    <n v="45.939999"/>
    <n v="46.009998000000003"/>
    <n v="45.25"/>
    <x v="3816"/>
    <n v="40.413924999999999"/>
    <n v="39701400"/>
  </r>
  <r>
    <x v="7405"/>
    <n v="45.580002"/>
    <n v="45.639999000000003"/>
    <n v="44.790000999999997"/>
    <x v="3817"/>
    <n v="40.405014000000001"/>
    <n v="34328900"/>
  </r>
  <r>
    <x v="7406"/>
    <n v="45.400002000000001"/>
    <n v="46.779998999999997"/>
    <n v="45.259998000000003"/>
    <x v="3818"/>
    <n v="41.251621"/>
    <n v="40945900"/>
  </r>
  <r>
    <x v="7407"/>
    <n v="46.259998000000003"/>
    <n v="47.400002000000001"/>
    <n v="45.93"/>
    <x v="3819"/>
    <n v="41.777397000000001"/>
    <n v="39777900"/>
  </r>
  <r>
    <x v="7408"/>
    <n v="47.290000999999997"/>
    <n v="47.369999"/>
    <n v="46.5"/>
    <x v="3648"/>
    <n v="41.616988999999997"/>
    <n v="31201500"/>
  </r>
  <r>
    <x v="7409"/>
    <n v="46.98"/>
    <n v="47"/>
    <n v="46.450001"/>
    <x v="3820"/>
    <n v="41.715015000000001"/>
    <n v="24125900"/>
  </r>
  <r>
    <x v="7410"/>
    <n v="46.75"/>
    <n v="47.709999000000003"/>
    <n v="46.68"/>
    <x v="3821"/>
    <n v="42.365566000000001"/>
    <n v="33403900"/>
  </r>
  <r>
    <x v="7411"/>
    <n v="47.98"/>
    <n v="48.41"/>
    <n v="47.540000999999997"/>
    <x v="3787"/>
    <n v="42.401211000000004"/>
    <n v="26959700"/>
  </r>
  <r>
    <x v="7412"/>
    <n v="47.709999000000003"/>
    <n v="47.77"/>
    <n v="46.330002"/>
    <x v="3675"/>
    <n v="41.545689000000003"/>
    <n v="27368000"/>
  </r>
  <r>
    <x v="7413"/>
    <n v="46.389999000000003"/>
    <n v="46.779998999999997"/>
    <n v="46.259998000000003"/>
    <x v="3822"/>
    <n v="41.652630000000002"/>
    <n v="19163000"/>
  </r>
  <r>
    <x v="7414"/>
    <n v="46.950001"/>
    <n v="47.490001999999997"/>
    <n v="46.84"/>
    <x v="3823"/>
    <n v="42.178429000000001"/>
    <n v="23079900"/>
  </r>
  <r>
    <x v="7415"/>
    <n v="46.82"/>
    <n v="46.939999"/>
    <n v="45.900002000000001"/>
    <x v="3657"/>
    <n v="41.358559"/>
    <n v="29237400"/>
  </r>
  <r>
    <x v="7416"/>
    <n v="46.189999"/>
    <n v="46.900002000000001"/>
    <n v="45.709999000000003"/>
    <x v="3822"/>
    <n v="41.652630000000002"/>
    <n v="30181400"/>
  </r>
  <r>
    <x v="7417"/>
    <n v="47.060001"/>
    <n v="47.099997999999999"/>
    <n v="46.490001999999997"/>
    <x v="3824"/>
    <n v="41.643718999999997"/>
    <n v="22627200"/>
  </r>
  <r>
    <x v="7418"/>
    <n v="46.529998999999997"/>
    <n v="47.099997999999999"/>
    <n v="46.52"/>
    <x v="1880"/>
    <n v="41.884331000000003"/>
    <n v="21473400"/>
  </r>
  <r>
    <x v="7419"/>
    <n v="46.810001"/>
    <n v="47.450001"/>
    <n v="46.57"/>
    <x v="3825"/>
    <n v="42.169505999999998"/>
    <n v="21099700"/>
  </r>
  <r>
    <x v="7420"/>
    <n v="46.84"/>
    <n v="47.43"/>
    <n v="46.700001"/>
    <x v="3826"/>
    <n v="42.402737000000002"/>
    <n v="23574100"/>
  </r>
  <r>
    <x v="7421"/>
    <n v="46.779998999999997"/>
    <n v="47.080002"/>
    <n v="46.299999"/>
    <x v="3797"/>
    <n v="41.810687999999999"/>
    <n v="31485500"/>
  </r>
  <r>
    <x v="7422"/>
    <n v="46.07"/>
    <n v="46.470001000000003"/>
    <n v="45.66"/>
    <x v="3827"/>
    <n v="40.958511000000001"/>
    <n v="36238200"/>
  </r>
  <r>
    <x v="7423"/>
    <n v="45.299999"/>
    <n v="45.48"/>
    <n v="43.07"/>
    <x v="3828"/>
    <n v="38.635193000000001"/>
    <n v="70053100"/>
  </r>
  <r>
    <x v="7424"/>
    <n v="40.450001"/>
    <n v="42.689999"/>
    <n v="39.720001000000003"/>
    <x v="3593"/>
    <n v="37.388328999999999"/>
    <n v="88753700"/>
  </r>
  <r>
    <x v="7425"/>
    <n v="42.57"/>
    <n v="43.240001999999997"/>
    <n v="40.389999000000003"/>
    <x v="3554"/>
    <n v="36.302914000000001"/>
    <n v="70616600"/>
  </r>
  <r>
    <x v="7426"/>
    <n v="42.009998000000003"/>
    <n v="42.84"/>
    <n v="41.060001"/>
    <x v="3829"/>
    <n v="38.312263000000002"/>
    <n v="63408000"/>
  </r>
  <r>
    <x v="7427"/>
    <n v="43.23"/>
    <n v="43.950001"/>
    <n v="42.93"/>
    <x v="3830"/>
    <n v="39.379730000000002"/>
    <n v="50943200"/>
  </r>
  <r>
    <x v="7428"/>
    <n v="43.400002000000001"/>
    <n v="44.150002000000001"/>
    <n v="43.389999000000003"/>
    <x v="3831"/>
    <n v="39.406643000000003"/>
    <n v="28246700"/>
  </r>
  <r>
    <x v="7429"/>
    <n v="43.560001"/>
    <n v="43.93"/>
    <n v="43.099997999999999"/>
    <x v="3629"/>
    <n v="39.038863999999997"/>
    <n v="34441700"/>
  </r>
  <r>
    <x v="7430"/>
    <n v="42.169998"/>
    <n v="42.59"/>
    <n v="41.66"/>
    <x v="3832"/>
    <n v="37.513908000000001"/>
    <n v="49688900"/>
  </r>
  <r>
    <x v="7431"/>
    <n v="42.360000999999997"/>
    <n v="43.380001"/>
    <n v="41.880001"/>
    <x v="3833"/>
    <n v="38.895336"/>
    <n v="37671500"/>
  </r>
  <r>
    <x v="7432"/>
    <n v="43.41"/>
    <n v="43.98"/>
    <n v="43.279998999999997"/>
    <x v="1750"/>
    <n v="39.020912000000003"/>
    <n v="28285200"/>
  </r>
  <r>
    <x v="7433"/>
    <n v="42.810001"/>
    <n v="43.040000999999997"/>
    <n v="42.200001"/>
    <x v="3834"/>
    <n v="38.222565000000003"/>
    <n v="37138800"/>
  </r>
  <r>
    <x v="7434"/>
    <n v="43.299999"/>
    <n v="44"/>
    <n v="43.200001"/>
    <x v="3620"/>
    <n v="39.37077"/>
    <n v="32469800"/>
  </r>
  <r>
    <x v="7435"/>
    <n v="44.209999000000003"/>
    <n v="44.400002000000001"/>
    <n v="42.91"/>
    <x v="3828"/>
    <n v="38.635193000000001"/>
    <n v="33469500"/>
  </r>
  <r>
    <x v="7436"/>
    <n v="43.119999"/>
    <n v="43.790000999999997"/>
    <n v="42.75"/>
    <x v="3835"/>
    <n v="38.832538999999997"/>
    <n v="31366600"/>
  </r>
  <r>
    <x v="7437"/>
    <n v="43.139999000000003"/>
    <n v="43.59"/>
    <n v="42.939999"/>
    <x v="3836"/>
    <n v="39.002983"/>
    <n v="27132500"/>
  </r>
  <r>
    <x v="7438"/>
    <n v="43.43"/>
    <n v="43.439999"/>
    <n v="42.860000999999997"/>
    <x v="3837"/>
    <n v="38.608275999999996"/>
    <n v="23656000"/>
  </r>
  <r>
    <x v="7439"/>
    <n v="43.189999"/>
    <n v="44.290000999999997"/>
    <n v="43.080002"/>
    <x v="3838"/>
    <n v="39.451495999999999"/>
    <n v="28882200"/>
  </r>
  <r>
    <x v="7440"/>
    <n v="43.970001000000003"/>
    <n v="44.380001"/>
    <n v="43.84"/>
    <x v="3806"/>
    <n v="39.738543999999997"/>
    <n v="23372200"/>
  </r>
  <r>
    <x v="7441"/>
    <n v="44.290000999999997"/>
    <n v="45"/>
    <n v="44.080002"/>
    <x v="3839"/>
    <n v="39.693694999999998"/>
    <n v="32768200"/>
  </r>
  <r>
    <x v="7442"/>
    <n v="43.5"/>
    <n v="43.990001999999997"/>
    <n v="43.330002"/>
    <x v="3836"/>
    <n v="39.002983"/>
    <n v="63143700"/>
  </r>
  <r>
    <x v="7443"/>
    <n v="43.619999"/>
    <n v="44.470001000000003"/>
    <n v="43.599997999999999"/>
    <x v="3840"/>
    <n v="39.568111000000002"/>
    <n v="26177200"/>
  </r>
  <r>
    <x v="7444"/>
    <n v="43.380001"/>
    <n v="44.049999"/>
    <n v="43.310001"/>
    <x v="3830"/>
    <n v="39.379730000000002"/>
    <n v="28085900"/>
  </r>
  <r>
    <x v="7445"/>
    <n v="43.93"/>
    <n v="44.169998"/>
    <n v="43.509998000000003"/>
    <x v="3737"/>
    <n v="39.352817999999999"/>
    <n v="17145200"/>
  </r>
  <r>
    <x v="7446"/>
    <n v="43.450001"/>
    <n v="44.130001"/>
    <n v="43.27"/>
    <x v="3841"/>
    <n v="39.388694999999998"/>
    <n v="27905600"/>
  </r>
  <r>
    <x v="7447"/>
    <n v="44.48"/>
    <n v="44.73"/>
    <n v="43.759998000000003"/>
    <x v="3842"/>
    <n v="39.415615000000003"/>
    <n v="29384600"/>
  </r>
  <r>
    <x v="7448"/>
    <n v="43.830002"/>
    <n v="44.09"/>
    <n v="43.209999000000003"/>
    <x v="3835"/>
    <n v="38.832538999999997"/>
    <n v="27613800"/>
  </r>
  <r>
    <x v="7449"/>
    <n v="43.369999"/>
    <n v="43.57"/>
    <n v="43.049999"/>
    <x v="3843"/>
    <n v="38.967094000000003"/>
    <n v="32763600"/>
  </r>
  <r>
    <x v="7450"/>
    <n v="43.880001"/>
    <n v="44.299999"/>
    <n v="43.66"/>
    <x v="3844"/>
    <n v="39.702663000000001"/>
    <n v="34958900"/>
  </r>
  <r>
    <x v="7451"/>
    <n v="44.75"/>
    <n v="44.75"/>
    <n v="43.75"/>
    <x v="3809"/>
    <n v="40.016640000000002"/>
    <n v="28657900"/>
  </r>
  <r>
    <x v="7452"/>
    <n v="44.27"/>
    <n v="45.57"/>
    <n v="43.919998"/>
    <x v="3845"/>
    <n v="40.877780999999999"/>
    <n v="41839000"/>
  </r>
  <r>
    <x v="7453"/>
    <n v="45.75"/>
    <n v="46.889999000000003"/>
    <n v="45.700001"/>
    <x v="3846"/>
    <n v="41.828631999999999"/>
    <n v="34369300"/>
  </r>
  <r>
    <x v="7454"/>
    <n v="46.330002"/>
    <n v="47.18"/>
    <n v="46.220001000000003"/>
    <x v="3847"/>
    <n v="41.936275000000002"/>
    <n v="27017200"/>
  </r>
  <r>
    <x v="7455"/>
    <n v="47.099997999999999"/>
    <n v="47.349997999999999"/>
    <n v="45.950001"/>
    <x v="3848"/>
    <n v="41.981133"/>
    <n v="27711500"/>
  </r>
  <r>
    <x v="7456"/>
    <n v="46.560001"/>
    <n v="47.52"/>
    <n v="46.5"/>
    <x v="3711"/>
    <n v="42.564200999999997"/>
    <n v="33772700"/>
  </r>
  <r>
    <x v="7457"/>
    <n v="47.450001"/>
    <n v="47.540000999999997"/>
    <n v="46.919998"/>
    <x v="3849"/>
    <n v="42.259216000000002"/>
    <n v="28600600"/>
  </r>
  <r>
    <x v="7458"/>
    <n v="46.98"/>
    <n v="47.07"/>
    <n v="46.5"/>
    <x v="1880"/>
    <n v="42.160530000000001"/>
    <n v="19769100"/>
  </r>
  <r>
    <x v="7459"/>
    <n v="46.560001"/>
    <n v="47.130001"/>
    <n v="46.560001"/>
    <x v="3850"/>
    <n v="42.061858999999998"/>
    <n v="19987800"/>
  </r>
  <r>
    <x v="7460"/>
    <n v="46.650002000000001"/>
    <n v="47.099997999999999"/>
    <n v="46.529998999999997"/>
    <x v="3651"/>
    <n v="41.873477999999999"/>
    <n v="24697800"/>
  </r>
  <r>
    <x v="7461"/>
    <n v="47.009998000000003"/>
    <n v="47.029998999999997"/>
    <n v="46.529998999999997"/>
    <x v="3725"/>
    <n v="42.169502000000001"/>
    <n v="27189400"/>
  </r>
  <r>
    <x v="7462"/>
    <n v="47.02"/>
    <n v="47.540000999999997"/>
    <n v="46.900002000000001"/>
    <x v="3851"/>
    <n v="42.618011000000003"/>
    <n v="26450300"/>
  </r>
  <r>
    <x v="7463"/>
    <n v="47.419998"/>
    <n v="47.880001"/>
    <n v="47.02"/>
    <x v="3852"/>
    <n v="42.716701999999998"/>
    <n v="29387600"/>
  </r>
  <r>
    <x v="7464"/>
    <n v="47.439999"/>
    <n v="47.810001"/>
    <n v="47.02"/>
    <x v="3853"/>
    <n v="42.85125"/>
    <n v="30802200"/>
  </r>
  <r>
    <x v="7465"/>
    <n v="47.919998"/>
    <n v="47.990001999999997"/>
    <n v="47.110000999999997"/>
    <x v="3854"/>
    <n v="42.339947000000002"/>
    <n v="25144300"/>
  </r>
  <r>
    <x v="7466"/>
    <n v="47.529998999999997"/>
    <n v="48.950001"/>
    <n v="47.09"/>
    <x v="3773"/>
    <n v="43.084476000000002"/>
    <n v="56637100"/>
  </r>
  <r>
    <x v="7467"/>
    <n v="52.299999"/>
    <n v="54.07"/>
    <n v="52.25"/>
    <x v="3855"/>
    <n v="47.426116999999998"/>
    <n v="135227100"/>
  </r>
  <r>
    <x v="7468"/>
    <n v="52.529998999999997"/>
    <n v="54.32"/>
    <n v="52.5"/>
    <x v="3856"/>
    <n v="48.664028000000002"/>
    <n v="64633300"/>
  </r>
  <r>
    <x v="7469"/>
    <n v="53.990001999999997"/>
    <n v="54.369999"/>
    <n v="53.580002"/>
    <x v="3857"/>
    <n v="48.161681999999999"/>
    <n v="50999900"/>
  </r>
  <r>
    <x v="7470"/>
    <n v="53.540000999999997"/>
    <n v="53.98"/>
    <n v="52.860000999999997"/>
    <x v="3858"/>
    <n v="48.421824999999998"/>
    <n v="47000800"/>
  </r>
  <r>
    <x v="7471"/>
    <n v="53.540000999999997"/>
    <n v="53.830002"/>
    <n v="53.220001000000003"/>
    <x v="3859"/>
    <n v="47.865665"/>
    <n v="30202100"/>
  </r>
  <r>
    <x v="7472"/>
    <n v="53.32"/>
    <n v="53.990001999999997"/>
    <n v="52.619999"/>
    <x v="3860"/>
    <n v="47.219794999999998"/>
    <n v="46619800"/>
  </r>
  <r>
    <x v="7473"/>
    <n v="52.849997999999999"/>
    <n v="53.360000999999997"/>
    <n v="52.619999"/>
    <x v="3861"/>
    <n v="47.758015"/>
    <n v="30285000"/>
  </r>
  <r>
    <x v="7474"/>
    <n v="52.93"/>
    <n v="54.389999000000003"/>
    <n v="52.900002000000001"/>
    <x v="3862"/>
    <n v="48.574317999999998"/>
    <n v="36596900"/>
  </r>
  <r>
    <x v="7475"/>
    <n v="54.18"/>
    <n v="54.880001"/>
    <n v="54.060001"/>
    <x v="3863"/>
    <n v="48.798580000000001"/>
    <n v="37087800"/>
  </r>
  <r>
    <x v="7476"/>
    <n v="54.490001999999997"/>
    <n v="54.700001"/>
    <n v="54"/>
    <x v="3864"/>
    <n v="48.780639999999998"/>
    <n v="31468500"/>
  </r>
  <r>
    <x v="7477"/>
    <n v="54.09"/>
    <n v="54.98"/>
    <n v="53.959999000000003"/>
    <x v="3865"/>
    <n v="49.265030000000003"/>
    <n v="32851200"/>
  </r>
  <r>
    <x v="7478"/>
    <n v="54.549999"/>
    <n v="54.869999"/>
    <n v="53.560001"/>
    <x v="3866"/>
    <n v="48.583289999999998"/>
    <n v="32513100"/>
  </r>
  <r>
    <x v="7479"/>
    <n v="54.07"/>
    <n v="54.130001"/>
    <n v="53.27"/>
    <x v="3867"/>
    <n v="48.000216999999999"/>
    <n v="55283700"/>
  </r>
  <r>
    <x v="7480"/>
    <n v="53.700001"/>
    <n v="54.200001"/>
    <n v="53.459999000000003"/>
    <x v="3868"/>
    <n v="48.125808999999997"/>
    <n v="36516300"/>
  </r>
  <r>
    <x v="7481"/>
    <n v="53.48"/>
    <n v="53.98"/>
    <n v="53.189999"/>
    <x v="3869"/>
    <n v="47.829780999999997"/>
    <n v="35361100"/>
  </r>
  <r>
    <x v="7482"/>
    <n v="53.07"/>
    <n v="53.290000999999997"/>
    <n v="52.529998999999997"/>
    <x v="3870"/>
    <n v="47.399208000000002"/>
    <n v="36848200"/>
  </r>
  <r>
    <x v="7483"/>
    <n v="53.080002"/>
    <n v="53.889999000000003"/>
    <n v="52.849997999999999"/>
    <x v="3871"/>
    <n v="48.233443999999999"/>
    <n v="32165200"/>
  </r>
  <r>
    <x v="7484"/>
    <n v="53.169998"/>
    <n v="53.529998999999997"/>
    <n v="52.849997999999999"/>
    <x v="3872"/>
    <n v="47.836098"/>
    <n v="31551300"/>
  </r>
  <r>
    <x v="7485"/>
    <n v="53"/>
    <n v="53.98"/>
    <n v="52.98"/>
    <x v="3873"/>
    <n v="48.630806"/>
    <n v="29710000"/>
  </r>
  <r>
    <x v="7486"/>
    <n v="53.990001999999997"/>
    <n v="54.66"/>
    <n v="53.779998999999997"/>
    <x v="3874"/>
    <n v="48.712069999999997"/>
    <n v="28149200"/>
  </r>
  <r>
    <x v="7487"/>
    <n v="54.25"/>
    <n v="54.299999"/>
    <n v="53.27"/>
    <x v="3875"/>
    <n v="48.937840000000001"/>
    <n v="37147600"/>
  </r>
  <r>
    <x v="7488"/>
    <n v="54.25"/>
    <n v="54.459999000000003"/>
    <n v="53.75"/>
    <x v="3875"/>
    <n v="48.937840000000001"/>
    <n v="28235900"/>
  </r>
  <r>
    <x v="7489"/>
    <n v="53.919998"/>
    <n v="54.439999"/>
    <n v="53.580002"/>
    <x v="3856"/>
    <n v="48.992038999999998"/>
    <n v="24600000"/>
  </r>
  <r>
    <x v="7490"/>
    <n v="54.09"/>
    <n v="54.23"/>
    <n v="53.689999"/>
    <x v="3857"/>
    <n v="48.486308999999999"/>
    <n v="21005100"/>
  </r>
  <r>
    <x v="7491"/>
    <n v="53.799999"/>
    <n v="54.080002"/>
    <n v="53.790000999999997"/>
    <x v="3876"/>
    <n v="48.703055999999997"/>
    <n v="9009100"/>
  </r>
  <r>
    <x v="7492"/>
    <n v="54.540000999999997"/>
    <n v="54.959999000000003"/>
    <n v="54"/>
    <x v="3877"/>
    <n v="49.082348000000003"/>
    <n v="56241400"/>
  </r>
  <r>
    <x v="7493"/>
    <n v="54.41"/>
    <n v="55.23"/>
    <n v="54.299999"/>
    <x v="3878"/>
    <n v="49.868018999999997"/>
    <n v="39952800"/>
  </r>
  <r>
    <x v="7494"/>
    <n v="55.32"/>
    <n v="55.959999000000003"/>
    <n v="55.060001"/>
    <x v="3879"/>
    <n v="49.858989999999999"/>
    <n v="47274900"/>
  </r>
  <r>
    <x v="7495"/>
    <n v="55.490001999999997"/>
    <n v="55.77"/>
    <n v="53.93"/>
    <x v="3880"/>
    <n v="48.946883999999997"/>
    <n v="38627800"/>
  </r>
  <r>
    <x v="7496"/>
    <n v="54.119999"/>
    <n v="56.23"/>
    <n v="54.099997999999999"/>
    <x v="3881"/>
    <n v="50.491146000000001"/>
    <n v="43963700"/>
  </r>
  <r>
    <x v="7497"/>
    <n v="55.790000999999997"/>
    <n v="55.970001000000003"/>
    <n v="55.290000999999997"/>
    <x v="3882"/>
    <n v="50.400841"/>
    <n v="30709800"/>
  </r>
  <r>
    <x v="7498"/>
    <n v="55.470001000000003"/>
    <n v="56.099997999999999"/>
    <n v="54.990001999999997"/>
    <x v="3883"/>
    <n v="50.382773999999998"/>
    <n v="32878000"/>
  </r>
  <r>
    <x v="7499"/>
    <n v="55.369999"/>
    <n v="55.869999"/>
    <n v="54.509998000000003"/>
    <x v="3884"/>
    <n v="49.651276000000003"/>
    <n v="36373200"/>
  </r>
  <r>
    <x v="7500"/>
    <n v="55.389999000000003"/>
    <n v="55.66"/>
    <n v="55.009998000000003"/>
    <x v="3885"/>
    <n v="49.913181000000002"/>
    <n v="31775800"/>
  </r>
  <r>
    <x v="7501"/>
    <n v="54.709999000000003"/>
    <n v="55.099997999999999"/>
    <n v="54.009998000000003"/>
    <x v="3886"/>
    <n v="48.820456999999998"/>
    <n v="39549500"/>
  </r>
  <r>
    <x v="7502"/>
    <n v="54.330002"/>
    <n v="55.209999000000003"/>
    <n v="53.68"/>
    <x v="3887"/>
    <n v="49.795772999999997"/>
    <n v="46768900"/>
  </r>
  <r>
    <x v="7503"/>
    <n v="55.66"/>
    <n v="55.900002000000001"/>
    <n v="55.09"/>
    <x v="3888"/>
    <n v="49.849964"/>
    <n v="39843000"/>
  </r>
  <r>
    <x v="7504"/>
    <n v="55.540000999999997"/>
    <n v="56.25"/>
    <n v="54.759998000000003"/>
    <x v="3889"/>
    <n v="50.689830999999998"/>
    <n v="37503300"/>
  </r>
  <r>
    <x v="7505"/>
    <n v="56.360000999999997"/>
    <n v="56.790000999999997"/>
    <n v="55.529998999999997"/>
    <x v="3890"/>
    <n v="50.301501999999999"/>
    <n v="41280900"/>
  </r>
  <r>
    <x v="7506"/>
    <n v="55.77"/>
    <n v="56"/>
    <n v="54.029998999999997"/>
    <x v="3891"/>
    <n v="48.883662999999999"/>
    <n v="84684200"/>
  </r>
  <r>
    <x v="7507"/>
    <n v="54.880001"/>
    <n v="55.349997999999999"/>
    <n v="54.23"/>
    <x v="3892"/>
    <n v="49.515830999999999"/>
    <n v="37246300"/>
  </r>
  <r>
    <x v="7508"/>
    <n v="54.990001999999997"/>
    <n v="55.48"/>
    <n v="54.5"/>
    <x v="3893"/>
    <n v="49.985416000000001"/>
    <n v="28322200"/>
  </r>
  <r>
    <x v="7509"/>
    <n v="55.700001"/>
    <n v="55.880001"/>
    <n v="55.439999"/>
    <x v="3894"/>
    <n v="50.409866000000001"/>
    <n v="27279800"/>
  </r>
  <r>
    <x v="7510"/>
    <n v="55.860000999999997"/>
    <n v="55.959999000000003"/>
    <n v="55.43"/>
    <x v="3895"/>
    <n v="50.274394999999998"/>
    <n v="9558500"/>
  </r>
  <r>
    <x v="7511"/>
    <n v="55.349997999999999"/>
    <n v="55.950001"/>
    <n v="54.98"/>
    <x v="3896"/>
    <n v="50.527279"/>
    <n v="22458300"/>
  </r>
  <r>
    <x v="7512"/>
    <n v="56.290000999999997"/>
    <n v="56.849997999999999"/>
    <n v="56.060001"/>
    <x v="3897"/>
    <n v="51.069118000000003"/>
    <n v="27731400"/>
  </r>
  <r>
    <x v="7513"/>
    <n v="56.470001000000003"/>
    <n v="56.779998999999997"/>
    <n v="56.290000999999997"/>
    <x v="3898"/>
    <n v="50.852383000000003"/>
    <n v="21704500"/>
  </r>
  <r>
    <x v="7514"/>
    <n v="56.040000999999997"/>
    <n v="56.189999"/>
    <n v="55.419998"/>
    <x v="3899"/>
    <n v="50.102825000000003"/>
    <n v="27334100"/>
  </r>
  <r>
    <x v="7515"/>
    <n v="54.32"/>
    <n v="54.799999"/>
    <n v="53.389999000000003"/>
    <x v="3900"/>
    <n v="49.488723999999998"/>
    <n v="53778000"/>
  </r>
  <r>
    <x v="7516"/>
    <n v="54.93"/>
    <n v="55.389999000000003"/>
    <n v="54.540000999999997"/>
    <x v="3901"/>
    <n v="49.714497000000001"/>
    <n v="34079700"/>
  </r>
  <r>
    <x v="7517"/>
    <n v="54.32"/>
    <n v="54.400002000000001"/>
    <n v="53.639999000000003"/>
    <x v="3902"/>
    <n v="48.811416999999999"/>
    <n v="39518900"/>
  </r>
  <r>
    <x v="7518"/>
    <n v="52.700001"/>
    <n v="53.490001999999997"/>
    <n v="52.07"/>
    <x v="3903"/>
    <n v="47.113621000000002"/>
    <n v="56564900"/>
  </r>
  <r>
    <x v="7519"/>
    <n v="52.369999"/>
    <n v="53.279998999999997"/>
    <n v="52.150002000000001"/>
    <x v="3904"/>
    <n v="47.258128999999997"/>
    <n v="48754000"/>
  </r>
  <r>
    <x v="7520"/>
    <n v="52.509998000000003"/>
    <n v="52.849997999999999"/>
    <n v="51.459999000000003"/>
    <x v="3905"/>
    <n v="47.231029999999997"/>
    <n v="36943800"/>
  </r>
  <r>
    <x v="7521"/>
    <n v="52.759998000000003"/>
    <n v="53.099997999999999"/>
    <n v="52.060001"/>
    <x v="3906"/>
    <n v="47.664509000000002"/>
    <n v="36095500"/>
  </r>
  <r>
    <x v="7522"/>
    <n v="53.799999"/>
    <n v="54.07"/>
    <n v="51.299999"/>
    <x v="3907"/>
    <n v="46.634998000000003"/>
    <n v="66883600"/>
  </r>
  <r>
    <x v="7523"/>
    <n v="52"/>
    <n v="53.419998"/>
    <n v="51.57"/>
    <x v="3908"/>
    <n v="47.962524000000002"/>
    <n v="52381900"/>
  </r>
  <r>
    <x v="7524"/>
    <n v="51.310001"/>
    <n v="51.970001000000003"/>
    <n v="50.34"/>
    <x v="3909"/>
    <n v="46.048000000000002"/>
    <n v="71820700"/>
  </r>
  <r>
    <x v="7525"/>
    <n v="51.48"/>
    <n v="51.68"/>
    <n v="50.060001"/>
    <x v="3910"/>
    <n v="45.659675999999997"/>
    <n v="43564500"/>
  </r>
  <r>
    <x v="7526"/>
    <n v="49.98"/>
    <n v="51.380001"/>
    <n v="49.099997999999999"/>
    <x v="3911"/>
    <n v="45.867386000000003"/>
    <n v="63273000"/>
  </r>
  <r>
    <x v="7527"/>
    <n v="51"/>
    <n v="51.580002"/>
    <n v="50.299999"/>
    <x v="3912"/>
    <n v="45.587425000000003"/>
    <n v="40191200"/>
  </r>
  <r>
    <x v="7528"/>
    <n v="51.41"/>
    <n v="52.330002"/>
    <n v="51.259998000000003"/>
    <x v="3913"/>
    <n v="47.222003999999998"/>
    <n v="37555800"/>
  </r>
  <r>
    <x v="7529"/>
    <n v="51.939999"/>
    <n v="52.650002000000001"/>
    <n v="51.650002000000001"/>
    <x v="3914"/>
    <n v="46.770457999999998"/>
    <n v="34707700"/>
  </r>
  <r>
    <x v="7530"/>
    <n v="51.790000999999997"/>
    <n v="52.439999"/>
    <n v="51.549999"/>
    <x v="3903"/>
    <n v="47.113621000000002"/>
    <n v="28900800"/>
  </r>
  <r>
    <x v="7531"/>
    <n v="52.009998000000003"/>
    <n v="52.200001"/>
    <n v="51.02"/>
    <x v="3915"/>
    <n v="46.255710999999998"/>
    <n v="36775200"/>
  </r>
  <r>
    <x v="7532"/>
    <n v="51.860000999999997"/>
    <n v="52.209999000000003"/>
    <n v="51.25"/>
    <x v="3916"/>
    <n v="47.014296999999999"/>
    <n v="62513800"/>
  </r>
  <r>
    <x v="7533"/>
    <n v="54.73"/>
    <n v="55.09"/>
    <n v="54"/>
    <x v="3917"/>
    <n v="49.750618000000003"/>
    <n v="83611700"/>
  </r>
  <r>
    <x v="7534"/>
    <n v="54.880001"/>
    <n v="55.09"/>
    <n v="54.5"/>
    <x v="3918"/>
    <n v="49.407448000000002"/>
    <n v="44208500"/>
  </r>
  <r>
    <x v="7535"/>
    <n v="54.169998"/>
    <n v="54.259998000000003"/>
    <n v="52.650002000000001"/>
    <x v="1941"/>
    <n v="47.863182000000002"/>
    <n v="56313800"/>
  </r>
  <r>
    <x v="7536"/>
    <n v="53.25"/>
    <n v="53.389999000000003"/>
    <n v="51.259998000000003"/>
    <x v="3919"/>
    <n v="47.104595000000003"/>
    <n v="57559800"/>
  </r>
  <r>
    <x v="7537"/>
    <n v="52.099997999999999"/>
    <n v="52.810001"/>
    <n v="51.369999"/>
    <x v="1955"/>
    <n v="46.960101999999999"/>
    <n v="46987100"/>
  </r>
  <r>
    <x v="7538"/>
    <n v="51.939999"/>
    <n v="52"/>
    <n v="49.560001"/>
    <x v="3920"/>
    <n v="45.298439000000002"/>
    <n v="62009000"/>
  </r>
  <r>
    <x v="7539"/>
    <n v="49.549999"/>
    <n v="49.57"/>
    <n v="48.189999"/>
    <x v="3921"/>
    <n v="44.621139999999997"/>
    <n v="59290500"/>
  </r>
  <r>
    <x v="7540"/>
    <n v="49.02"/>
    <n v="50.240001999999997"/>
    <n v="48.669998"/>
    <x v="3922"/>
    <n v="44.503731000000002"/>
    <n v="46740500"/>
  </r>
  <r>
    <x v="7541"/>
    <n v="49.889999000000003"/>
    <n v="50.389999000000003"/>
    <n v="49.52"/>
    <x v="3923"/>
    <n v="44.892059000000003"/>
    <n v="38237000"/>
  </r>
  <r>
    <x v="7542"/>
    <n v="48.68"/>
    <n v="50.110000999999997"/>
    <n v="48.509998000000003"/>
    <x v="3924"/>
    <n v="44.873984999999998"/>
    <n v="48878600"/>
  </r>
  <r>
    <x v="7543"/>
    <n v="50.25"/>
    <n v="50.68"/>
    <n v="49.75"/>
    <x v="1970"/>
    <n v="45.605488000000001"/>
    <n v="34243300"/>
  </r>
  <r>
    <x v="7544"/>
    <n v="50.900002000000001"/>
    <n v="51.09"/>
    <n v="50.130001"/>
    <x v="3925"/>
    <n v="46.469574000000001"/>
    <n v="37291200"/>
  </r>
  <r>
    <x v="7545"/>
    <n v="51.490001999999997"/>
    <n v="52.77"/>
    <n v="51.450001"/>
    <x v="3926"/>
    <n v="47.679287000000002"/>
    <n v="40789000"/>
  </r>
  <r>
    <x v="7546"/>
    <n v="52.330002"/>
    <n v="52.950001"/>
    <n v="52.099997999999999"/>
    <x v="3927"/>
    <n v="47.470089000000002"/>
    <n v="27176000"/>
  </r>
  <r>
    <x v="7547"/>
    <n v="51.970001000000003"/>
    <n v="52.279998999999997"/>
    <n v="51.529998999999997"/>
    <x v="3928"/>
    <n v="47.133555999999999"/>
    <n v="33559100"/>
  </r>
  <r>
    <x v="7548"/>
    <n v="52.279998999999997"/>
    <n v="53"/>
    <n v="52.279998999999997"/>
    <x v="3929"/>
    <n v="47.888492999999997"/>
    <n v="25008300"/>
  </r>
  <r>
    <x v="7549"/>
    <n v="52.34"/>
    <n v="52.369999"/>
    <n v="50.98"/>
    <x v="3930"/>
    <n v="46.551437"/>
    <n v="28895300"/>
  </r>
  <r>
    <x v="7550"/>
    <n v="50.689999"/>
    <n v="51.5"/>
    <n v="50.200001"/>
    <x v="3931"/>
    <n v="46.715159999999997"/>
    <n v="33014500"/>
  </r>
  <r>
    <x v="7551"/>
    <n v="51.73"/>
    <n v="52.099997999999999"/>
    <n v="50.610000999999997"/>
    <x v="3932"/>
    <n v="47.388233"/>
    <n v="26939500"/>
  </r>
  <r>
    <x v="7552"/>
    <n v="52.599997999999999"/>
    <n v="52.68"/>
    <n v="51.099997999999999"/>
    <x v="3933"/>
    <n v="46.660575999999999"/>
    <n v="35975900"/>
  </r>
  <r>
    <x v="7553"/>
    <n v="51.349997999999999"/>
    <n v="51.650002000000001"/>
    <n v="50.66"/>
    <x v="3934"/>
    <n v="46.278568"/>
    <n v="31654000"/>
  </r>
  <r>
    <x v="7554"/>
    <n v="50.970001000000003"/>
    <n v="52.59"/>
    <n v="50.919998"/>
    <x v="3935"/>
    <n v="47.824829000000001"/>
    <n v="33024500"/>
  </r>
  <r>
    <x v="7555"/>
    <n v="52.41"/>
    <n v="52.959999000000003"/>
    <n v="52.16"/>
    <x v="3936"/>
    <n v="48.161369000000001"/>
    <n v="29289900"/>
  </r>
  <r>
    <x v="7556"/>
    <n v="52.970001000000003"/>
    <n v="52.970001000000003"/>
    <n v="51.779998999999997"/>
    <x v="3937"/>
    <n v="47.615622999999999"/>
    <n v="24427800"/>
  </r>
  <r>
    <x v="7557"/>
    <n v="52.400002000000001"/>
    <n v="52.450001"/>
    <n v="51.709999000000003"/>
    <x v="3938"/>
    <n v="47.324562"/>
    <n v="33034200"/>
  </r>
  <r>
    <x v="7558"/>
    <n v="51.560001"/>
    <n v="51.799999"/>
    <n v="50.580002"/>
    <x v="3939"/>
    <n v="46.415008999999998"/>
    <n v="38407800"/>
  </r>
  <r>
    <x v="7559"/>
    <n v="50.799999"/>
    <n v="52.130001"/>
    <n v="50.599997999999999"/>
    <x v="3940"/>
    <n v="46.978931000000003"/>
    <n v="33835100"/>
  </r>
  <r>
    <x v="7560"/>
    <n v="51.889999000000003"/>
    <n v="52.849997999999999"/>
    <n v="51.860000999999997"/>
    <x v="3870"/>
    <n v="48.061306000000002"/>
    <n v="28251600"/>
  </r>
  <r>
    <x v="7561"/>
    <n v="52.93"/>
    <n v="52.939999"/>
    <n v="51.16"/>
    <x v="3941"/>
    <n v="47.342747000000003"/>
    <n v="38387800"/>
  </r>
  <r>
    <x v="7562"/>
    <n v="53"/>
    <n v="53.07"/>
    <n v="52.380001"/>
    <x v="3942"/>
    <n v="48.270504000000003"/>
    <n v="32275700"/>
  </r>
  <r>
    <x v="7563"/>
    <n v="52.709999000000003"/>
    <n v="53.59"/>
    <n v="52.630001"/>
    <x v="3943"/>
    <n v="48.361454000000002"/>
    <n v="24083600"/>
  </r>
  <r>
    <x v="7564"/>
    <n v="52.75"/>
    <n v="53.59"/>
    <n v="52.740001999999997"/>
    <x v="3944"/>
    <n v="48.743481000000003"/>
    <n v="21104800"/>
  </r>
  <r>
    <x v="7565"/>
    <n v="53.450001"/>
    <n v="54.599997999999999"/>
    <n v="53.400002000000001"/>
    <x v="3877"/>
    <n v="49.434753000000001"/>
    <n v="31691700"/>
  </r>
  <r>
    <x v="7566"/>
    <n v="54.209999000000003"/>
    <n v="55"/>
    <n v="54"/>
    <x v="3945"/>
    <n v="49.716717000000003"/>
    <n v="28223900"/>
  </r>
  <r>
    <x v="7567"/>
    <n v="54.919998"/>
    <n v="54.970001000000003"/>
    <n v="53.450001"/>
    <x v="3946"/>
    <n v="48.652512000000002"/>
    <n v="67625500"/>
  </r>
  <r>
    <x v="7568"/>
    <n v="53.25"/>
    <n v="53.93"/>
    <n v="52.93"/>
    <x v="3947"/>
    <n v="48.989055999999998"/>
    <n v="23925700"/>
  </r>
  <r>
    <x v="7569"/>
    <n v="53.610000999999997"/>
    <n v="54.25"/>
    <n v="53.459999000000003"/>
    <x v="3948"/>
    <n v="49.180073"/>
    <n v="23124100"/>
  </r>
  <r>
    <x v="7570"/>
    <n v="54.110000999999997"/>
    <n v="54.240001999999997"/>
    <n v="53.740001999999997"/>
    <x v="3949"/>
    <n v="49.089118999999997"/>
    <n v="20129000"/>
  </r>
  <r>
    <x v="7571"/>
    <n v="53.84"/>
    <n v="54.330002"/>
    <n v="53.73"/>
    <x v="3950"/>
    <n v="49.307406999999998"/>
    <n v="19950000"/>
  </r>
  <r>
    <x v="7572"/>
    <n v="54.209999000000003"/>
    <n v="54.290000999999997"/>
    <n v="53.330002"/>
    <x v="3951"/>
    <n v="48.698002000000002"/>
    <n v="17025100"/>
  </r>
  <r>
    <x v="7573"/>
    <n v="53.66"/>
    <n v="54.860000999999997"/>
    <n v="53.450001"/>
    <x v="3918"/>
    <n v="49.762188000000002"/>
    <n v="23924300"/>
  </r>
  <r>
    <x v="7574"/>
    <n v="54.93"/>
    <n v="55.639999000000003"/>
    <n v="54.900002000000001"/>
    <x v="3901"/>
    <n v="50.071444999999997"/>
    <n v="23008300"/>
  </r>
  <r>
    <x v="7575"/>
    <n v="54.950001"/>
    <n v="55.59"/>
    <n v="54.860000999999997"/>
    <x v="3952"/>
    <n v="50.235168000000002"/>
    <n v="26360500"/>
  </r>
  <r>
    <x v="7576"/>
    <n v="55.049999"/>
    <n v="55.610000999999997"/>
    <n v="54.57"/>
    <x v="3953"/>
    <n v="50.544407"/>
    <n v="24399200"/>
  </r>
  <r>
    <x v="7577"/>
    <n v="55.43"/>
    <n v="55.66"/>
    <n v="55"/>
    <x v="3954"/>
    <n v="50.417084000000003"/>
    <n v="18928800"/>
  </r>
  <r>
    <x v="7578"/>
    <n v="55.189999"/>
    <n v="55.299999"/>
    <n v="54.459999000000003"/>
    <x v="3955"/>
    <n v="49.625751000000001"/>
    <n v="19272300"/>
  </r>
  <r>
    <x v="7579"/>
    <n v="54.360000999999997"/>
    <n v="55.200001"/>
    <n v="54.209999000000003"/>
    <x v="3956"/>
    <n v="50.135109"/>
    <n v="21188700"/>
  </r>
  <r>
    <x v="7580"/>
    <n v="54.869999"/>
    <n v="54.91"/>
    <n v="54.23"/>
    <x v="3957"/>
    <n v="49.534801000000002"/>
    <n v="19225100"/>
  </r>
  <r>
    <x v="7581"/>
    <n v="54.669998"/>
    <n v="55.279998999999997"/>
    <n v="54.32"/>
    <x v="3958"/>
    <n v="49.498424999999997"/>
    <n v="22167200"/>
  </r>
  <r>
    <x v="7582"/>
    <n v="54.490001999999997"/>
    <n v="55.150002000000001"/>
    <n v="54.299999"/>
    <x v="3959"/>
    <n v="49.398375999999999"/>
    <n v="21414200"/>
  </r>
  <r>
    <x v="7583"/>
    <n v="54.369999"/>
    <n v="54.779998999999997"/>
    <n v="53.759998000000003"/>
    <x v="3960"/>
    <n v="49.707622999999998"/>
    <n v="24944300"/>
  </r>
  <r>
    <x v="7584"/>
    <n v="55.119999"/>
    <n v="55.439999"/>
    <n v="54.889999000000003"/>
    <x v="3893"/>
    <n v="50.344310999999998"/>
    <n v="20818000"/>
  </r>
  <r>
    <x v="7585"/>
    <n v="55.220001000000003"/>
    <n v="55.580002"/>
    <n v="55.07"/>
    <x v="3961"/>
    <n v="50.353408999999999"/>
    <n v="20877100"/>
  </r>
  <r>
    <x v="7586"/>
    <n v="55.299999"/>
    <n v="55.919998"/>
    <n v="55.110000999999997"/>
    <x v="3962"/>
    <n v="50.617179999999998"/>
    <n v="28793800"/>
  </r>
  <r>
    <x v="7587"/>
    <n v="55.490001999999997"/>
    <n v="56.59"/>
    <n v="55.209999000000003"/>
    <x v="3963"/>
    <n v="51.353935"/>
    <n v="23786000"/>
  </r>
  <r>
    <x v="7588"/>
    <n v="56.630001"/>
    <n v="56.77"/>
    <n v="55.68"/>
    <x v="3964"/>
    <n v="51.290256999999997"/>
    <n v="29596800"/>
  </r>
  <r>
    <x v="7589"/>
    <n v="56.290000999999997"/>
    <n v="56.5"/>
    <n v="55.490001999999997"/>
    <x v="3965"/>
    <n v="50.562607"/>
    <n v="36195700"/>
  </r>
  <r>
    <x v="7590"/>
    <n v="55.799999"/>
    <n v="56.23"/>
    <n v="55.419998"/>
    <x v="3966"/>
    <n v="50.735419999999998"/>
    <n v="38909100"/>
  </r>
  <r>
    <x v="7591"/>
    <n v="51.91"/>
    <n v="52.43"/>
    <n v="50.77"/>
    <x v="3967"/>
    <n v="47.097172"/>
    <n v="126834100"/>
  </r>
  <r>
    <x v="7592"/>
    <n v="51.779998999999997"/>
    <n v="52.130001"/>
    <n v="51.630001"/>
    <x v="3968"/>
    <n v="47.397331000000001"/>
    <n v="33226900"/>
  </r>
  <r>
    <x v="7593"/>
    <n v="52.259998000000003"/>
    <n v="52.349997999999999"/>
    <n v="51.09"/>
    <x v="3969"/>
    <n v="46.787914000000001"/>
    <n v="33532600"/>
  </r>
  <r>
    <x v="7594"/>
    <n v="51.48"/>
    <n v="51.5"/>
    <n v="50.549999"/>
    <x v="3970"/>
    <n v="46.333134000000001"/>
    <n v="43369300"/>
  </r>
  <r>
    <x v="7595"/>
    <n v="50.619999"/>
    <n v="50.77"/>
    <n v="49.560001"/>
    <x v="3971"/>
    <n v="45.387191999999999"/>
    <n v="43134800"/>
  </r>
  <r>
    <x v="7596"/>
    <n v="49.349997999999999"/>
    <n v="50.25"/>
    <n v="49.349997999999999"/>
    <x v="3972"/>
    <n v="45.359893999999997"/>
    <n v="48411700"/>
  </r>
  <r>
    <x v="7597"/>
    <n v="50"/>
    <n v="50.75"/>
    <n v="49.779998999999997"/>
    <x v="3973"/>
    <n v="46.032981999999997"/>
    <n v="33114500"/>
  </r>
  <r>
    <x v="7598"/>
    <n v="50.34"/>
    <n v="50.41"/>
    <n v="49.599997999999999"/>
    <x v="3974"/>
    <n v="45.278053"/>
    <n v="26460200"/>
  </r>
  <r>
    <x v="7599"/>
    <n v="49.84"/>
    <n v="50.060001"/>
    <n v="49.459999000000003"/>
    <x v="3972"/>
    <n v="45.359893999999997"/>
    <n v="24257600"/>
  </r>
  <r>
    <x v="7600"/>
    <n v="49.869999"/>
    <n v="50.299999"/>
    <n v="49.73"/>
    <x v="3975"/>
    <n v="45.423580000000001"/>
    <n v="25390700"/>
  </r>
  <r>
    <x v="7601"/>
    <n v="49.919998"/>
    <n v="50.389999000000003"/>
    <n v="49.66"/>
    <x v="3976"/>
    <n v="45.832881999999998"/>
    <n v="24787300"/>
  </r>
  <r>
    <x v="7602"/>
    <n v="50.490001999999997"/>
    <n v="50.59"/>
    <n v="50"/>
    <x v="3977"/>
    <n v="45.541820999999999"/>
    <n v="17951600"/>
  </r>
  <r>
    <x v="7603"/>
    <n v="50.330002"/>
    <n v="51.099997999999999"/>
    <n v="50.189999"/>
    <x v="3978"/>
    <n v="46.405903000000002"/>
    <n v="22891000"/>
  </r>
  <r>
    <x v="7604"/>
    <n v="51.130001"/>
    <n v="51.779998999999997"/>
    <n v="51"/>
    <x v="3979"/>
    <n v="46.433193000000003"/>
    <n v="24039100"/>
  </r>
  <r>
    <x v="7605"/>
    <n v="51.200001"/>
    <n v="51.810001"/>
    <n v="50.919998"/>
    <x v="3980"/>
    <n v="46.851593000000001"/>
    <n v="24102800"/>
  </r>
  <r>
    <x v="7606"/>
    <n v="51.439999"/>
    <n v="51.900002000000001"/>
    <n v="51.040000999999997"/>
    <x v="3981"/>
    <n v="46.460476"/>
    <n v="22592300"/>
  </r>
  <r>
    <x v="7607"/>
    <n v="50.799999"/>
    <n v="51.959999000000003"/>
    <n v="50.75"/>
    <x v="3982"/>
    <n v="47.142651000000001"/>
    <n v="20032000"/>
  </r>
  <r>
    <x v="7608"/>
    <n v="51.720001000000003"/>
    <n v="51.73"/>
    <n v="50.360000999999997"/>
    <x v="3983"/>
    <n v="46.263362999999998"/>
    <n v="27803500"/>
  </r>
  <r>
    <x v="7609"/>
    <n v="50.48"/>
    <n v="51.139999000000003"/>
    <n v="50.299999"/>
    <x v="3984"/>
    <n v="46.538136000000002"/>
    <n v="24907500"/>
  </r>
  <r>
    <x v="7610"/>
    <n v="50.470001000000003"/>
    <n v="50.619999"/>
    <n v="49.82"/>
    <x v="3985"/>
    <n v="46.08934"/>
    <n v="23842400"/>
  </r>
  <r>
    <x v="7611"/>
    <n v="50.48"/>
    <n v="51.220001000000003"/>
    <n v="50.400002000000001"/>
    <x v="3986"/>
    <n v="46.364108999999999"/>
    <n v="23905800"/>
  </r>
  <r>
    <x v="7612"/>
    <n v="50.599997999999999"/>
    <n v="50.68"/>
    <n v="49.98"/>
    <x v="3987"/>
    <n v="45.823715"/>
    <n v="26118700"/>
  </r>
  <r>
    <x v="7613"/>
    <n v="50.700001"/>
    <n v="51.709999000000003"/>
    <n v="50.400002000000001"/>
    <x v="3988"/>
    <n v="47.252563000000002"/>
    <n v="34757900"/>
  </r>
  <r>
    <x v="7614"/>
    <n v="51.919998"/>
    <n v="52.490001999999997"/>
    <n v="51.790000999999997"/>
    <x v="3989"/>
    <n v="47.737999000000002"/>
    <n v="24040200"/>
  </r>
  <r>
    <x v="7615"/>
    <n v="51.93"/>
    <n v="51.98"/>
    <n v="51.360000999999997"/>
    <x v="3990"/>
    <n v="47.527343999999999"/>
    <n v="24335200"/>
  </r>
  <r>
    <x v="7616"/>
    <n v="51.919998"/>
    <n v="52.32"/>
    <n v="51.77"/>
    <x v="3991"/>
    <n v="47.921188000000001"/>
    <n v="17721400"/>
  </r>
  <r>
    <x v="7617"/>
    <n v="52.259998000000003"/>
    <n v="53"/>
    <n v="52.080002"/>
    <x v="1941"/>
    <n v="48.544013999999997"/>
    <n v="37653100"/>
  </r>
  <r>
    <x v="7618"/>
    <n v="52.439999"/>
    <n v="52.950001"/>
    <n v="52.439999"/>
    <x v="3992"/>
    <n v="48.406627999999998"/>
    <n v="25324800"/>
  </r>
  <r>
    <x v="7619"/>
    <n v="52.639999000000003"/>
    <n v="52.740001999999997"/>
    <n v="51.84"/>
    <x v="3993"/>
    <n v="48.067734000000002"/>
    <n v="22840800"/>
  </r>
  <r>
    <x v="7620"/>
    <n v="52.380001"/>
    <n v="52.419998"/>
    <n v="51.599997999999999"/>
    <x v="3914"/>
    <n v="47.435741"/>
    <n v="23368300"/>
  </r>
  <r>
    <x v="7621"/>
    <n v="51.990001999999997"/>
    <n v="52.349997999999999"/>
    <n v="51.889999000000003"/>
    <x v="3994"/>
    <n v="47.747154000000002"/>
    <n v="18243300"/>
  </r>
  <r>
    <x v="7622"/>
    <n v="52.240001999999997"/>
    <n v="52.73"/>
    <n v="52.099997999999999"/>
    <x v="3932"/>
    <n v="47.719681000000001"/>
    <n v="20866800"/>
  </r>
  <r>
    <x v="7623"/>
    <n v="52.02"/>
    <n v="52.439999"/>
    <n v="51.869999"/>
    <x v="3995"/>
    <n v="47.664721999999998"/>
    <n v="21149400"/>
  </r>
  <r>
    <x v="7624"/>
    <n v="52"/>
    <n v="52"/>
    <n v="51.490001999999997"/>
    <x v="3996"/>
    <n v="47.280033000000003"/>
    <n v="20305700"/>
  </r>
  <r>
    <x v="7625"/>
    <n v="51.049999"/>
    <n v="52.049999"/>
    <n v="51.040000999999997"/>
    <x v="3997"/>
    <n v="47.151814000000002"/>
    <n v="25833200"/>
  </r>
  <r>
    <x v="7626"/>
    <n v="49.580002"/>
    <n v="50.720001000000003"/>
    <n v="49.060001"/>
    <x v="3998"/>
    <n v="45.924469000000002"/>
    <n v="83217800"/>
  </r>
  <r>
    <x v="7627"/>
    <n v="49.900002000000001"/>
    <n v="50.099997999999999"/>
    <n v="49.57"/>
    <x v="3999"/>
    <n v="45.640537000000002"/>
    <n v="42577100"/>
  </r>
  <r>
    <x v="7628"/>
    <n v="49.779998999999997"/>
    <n v="50.119999"/>
    <n v="49.689999"/>
    <x v="3924"/>
    <n v="45.512290999999998"/>
    <n v="33757600"/>
  </r>
  <r>
    <x v="7629"/>
    <n v="49.52"/>
    <n v="50.470001000000003"/>
    <n v="49.509998000000003"/>
    <x v="3976"/>
    <n v="46.153454000000004"/>
    <n v="31188600"/>
  </r>
  <r>
    <x v="7630"/>
    <n v="50.41"/>
    <n v="50.43"/>
    <n v="49.82"/>
    <x v="4000"/>
    <n v="45.915309999999998"/>
    <n v="45710500"/>
  </r>
  <r>
    <x v="7631"/>
    <n v="50.639999000000003"/>
    <n v="50.830002"/>
    <n v="50.029998999999997"/>
    <x v="3977"/>
    <n v="45.860354999999998"/>
    <n v="35607900"/>
  </r>
  <r>
    <x v="7632"/>
    <n v="50.200001"/>
    <n v="51.43"/>
    <n v="50.16"/>
    <x v="4001"/>
    <n v="46.886192000000001"/>
    <n v="34097800"/>
  </r>
  <r>
    <x v="7633"/>
    <n v="51.080002"/>
    <n v="51.459999000000003"/>
    <n v="50.950001"/>
    <x v="3909"/>
    <n v="46.702998999999998"/>
    <n v="28816800"/>
  </r>
  <r>
    <x v="7634"/>
    <n v="51.279998999999997"/>
    <n v="52.060001"/>
    <n v="51.150002000000001"/>
    <x v="4002"/>
    <n v="47.545650000000002"/>
    <n v="29028800"/>
  </r>
  <r>
    <x v="7635"/>
    <n v="49.810001"/>
    <n v="50.939999"/>
    <n v="49.52"/>
    <x v="3999"/>
    <n v="45.640537000000002"/>
    <n v="133503000"/>
  </r>
  <r>
    <x v="7636"/>
    <n v="49.099997999999999"/>
    <n v="49.150002000000001"/>
    <n v="48.040000999999997"/>
    <x v="4003"/>
    <n v="44.358238"/>
    <n v="50216300"/>
  </r>
  <r>
    <x v="7637"/>
    <n v="48.919998"/>
    <n v="49.470001000000003"/>
    <n v="48.669998"/>
    <x v="4004"/>
    <n v="45.283329000000002"/>
    <n v="38140700"/>
  </r>
  <r>
    <x v="7638"/>
    <n v="49.91"/>
    <n v="50.720001000000003"/>
    <n v="49.799999"/>
    <x v="4005"/>
    <n v="46.290852000000001"/>
    <n v="31304000"/>
  </r>
  <r>
    <x v="7639"/>
    <n v="50.720001000000003"/>
    <n v="51.299999"/>
    <n v="50.5"/>
    <x v="4006"/>
    <n v="46.867882000000002"/>
    <n v="28527800"/>
  </r>
  <r>
    <x v="7640"/>
    <n v="51.130001"/>
    <n v="51.720001000000003"/>
    <n v="51.07"/>
    <x v="4007"/>
    <n v="46.858719000000001"/>
    <n v="21400400"/>
  </r>
  <r>
    <x v="7641"/>
    <n v="50.830002"/>
    <n v="51.279998999999997"/>
    <n v="50.740001999999997"/>
    <x v="4006"/>
    <n v="46.867882000000002"/>
    <n v="24806400"/>
  </r>
  <r>
    <x v="7642"/>
    <n v="50.779998999999997"/>
    <n v="51.540000999999997"/>
    <n v="50.389999000000003"/>
    <x v="4008"/>
    <n v="47.060214999999999"/>
    <n v="28167500"/>
  </r>
  <r>
    <x v="7643"/>
    <n v="51.419998"/>
    <n v="51.610000999999997"/>
    <n v="51.07"/>
    <x v="4008"/>
    <n v="47.060214999999999"/>
    <n v="19585200"/>
  </r>
  <r>
    <x v="7644"/>
    <n v="51.73"/>
    <n v="52.360000999999997"/>
    <n v="51.549999"/>
    <x v="3905"/>
    <n v="47.902863000000004"/>
    <n v="28391000"/>
  </r>
  <r>
    <x v="7645"/>
    <n v="52.5"/>
    <n v="52.830002"/>
    <n v="52.470001000000003"/>
    <x v="4009"/>
    <n v="48.168480000000002"/>
    <n v="22269200"/>
  </r>
  <r>
    <x v="7646"/>
    <n v="52.939999"/>
    <n v="53.400002000000001"/>
    <n v="52.790000999999997"/>
    <x v="4010"/>
    <n v="48.736355000000003"/>
    <n v="27317600"/>
  </r>
  <r>
    <x v="7647"/>
    <n v="53.560001"/>
    <n v="53.860000999999997"/>
    <n v="53.18"/>
    <x v="3867"/>
    <n v="49.011130999999999"/>
    <n v="25356800"/>
  </r>
  <r>
    <x v="7648"/>
    <n v="53.84"/>
    <n v="53.990001999999997"/>
    <n v="53.580002"/>
    <x v="4011"/>
    <n v="49.221801999999997"/>
    <n v="24545500"/>
  </r>
  <r>
    <x v="7649"/>
    <n v="53.950001"/>
    <n v="54"/>
    <n v="53.209999000000003"/>
    <x v="4012"/>
    <n v="49.185161999999998"/>
    <n v="32024400"/>
  </r>
  <r>
    <x v="7650"/>
    <n v="53.700001"/>
    <n v="54.34"/>
    <n v="53.549999"/>
    <x v="4013"/>
    <n v="49.423309000000003"/>
    <n v="31433900"/>
  </r>
  <r>
    <x v="7651"/>
    <n v="53.709999000000003"/>
    <n v="53.900002000000001"/>
    <n v="52.93"/>
    <x v="4014"/>
    <n v="48.626449999999998"/>
    <n v="53336500"/>
  </r>
  <r>
    <x v="7652"/>
    <n v="56.150002000000001"/>
    <n v="56.84"/>
    <n v="55.529998999999997"/>
    <x v="3881"/>
    <n v="51.209358000000002"/>
    <n v="89893300"/>
  </r>
  <r>
    <x v="7653"/>
    <n v="55.98"/>
    <n v="56.23"/>
    <n v="55.759998000000003"/>
    <x v="4015"/>
    <n v="51.108601"/>
    <n v="32776700"/>
  </r>
  <r>
    <x v="7654"/>
    <n v="56.080002"/>
    <n v="56.630001"/>
    <n v="55.779998999999997"/>
    <x v="4016"/>
    <n v="51.813865999999997"/>
    <n v="32157200"/>
  </r>
  <r>
    <x v="7655"/>
    <n v="56.470001000000003"/>
    <n v="56.740001999999997"/>
    <n v="56.259998000000003"/>
    <x v="4017"/>
    <n v="51.960411000000001"/>
    <n v="25610600"/>
  </r>
  <r>
    <x v="7656"/>
    <n v="56.52"/>
    <n v="57.290000999999997"/>
    <n v="56.509998000000003"/>
    <x v="4018"/>
    <n v="51.987892000000002"/>
    <n v="28079000"/>
  </r>
  <r>
    <x v="7657"/>
    <n v="56.610000999999997"/>
    <n v="56.799999"/>
    <n v="56.110000999999997"/>
    <x v="4019"/>
    <n v="51.465815999999997"/>
    <n v="32327500"/>
  </r>
  <r>
    <x v="7658"/>
    <n v="56"/>
    <n v="56.369999"/>
    <n v="55.720001000000003"/>
    <x v="4020"/>
    <n v="51.484127000000001"/>
    <n v="37550400"/>
  </r>
  <r>
    <x v="7659"/>
    <n v="56.259998000000003"/>
    <n v="56.759998000000003"/>
    <n v="56.049999"/>
    <x v="4021"/>
    <n v="51.914619000000002"/>
    <n v="30558700"/>
  </r>
  <r>
    <x v="7660"/>
    <n v="56.599997999999999"/>
    <n v="56.75"/>
    <n v="56.139999000000003"/>
    <x v="4022"/>
    <n v="51.823028999999998"/>
    <n v="26003400"/>
  </r>
  <r>
    <x v="7661"/>
    <n v="56.849997999999999"/>
    <n v="56.900002000000001"/>
    <n v="56.310001"/>
    <x v="4022"/>
    <n v="51.823028999999998"/>
    <n v="35122000"/>
  </r>
  <r>
    <x v="7662"/>
    <n v="56.68"/>
    <n v="57.110000999999997"/>
    <n v="56.490001999999997"/>
    <x v="4023"/>
    <n v="52.180236999999998"/>
    <n v="22075600"/>
  </r>
  <r>
    <x v="7663"/>
    <n v="56.799999"/>
    <n v="57.52"/>
    <n v="56.669998"/>
    <x v="4024"/>
    <n v="52.564929999999997"/>
    <n v="26587700"/>
  </r>
  <r>
    <x v="7664"/>
    <n v="57.650002000000001"/>
    <n v="58.209999000000003"/>
    <n v="57.450001"/>
    <x v="4025"/>
    <n v="53.086998000000001"/>
    <n v="29335200"/>
  </r>
  <r>
    <x v="7665"/>
    <n v="58.060001"/>
    <n v="58.09"/>
    <n v="57.779998999999997"/>
    <x v="4026"/>
    <n v="53.178600000000003"/>
    <n v="19473500"/>
  </r>
  <r>
    <x v="7666"/>
    <n v="58.169998"/>
    <n v="58.5"/>
    <n v="58.02"/>
    <x v="4027"/>
    <n v="53.306823999999999"/>
    <n v="16920700"/>
  </r>
  <r>
    <x v="7667"/>
    <n v="58.16"/>
    <n v="58.32"/>
    <n v="57.82"/>
    <x v="4028"/>
    <n v="53.141964000000002"/>
    <n v="15756900"/>
  </r>
  <r>
    <x v="7668"/>
    <n v="58.029998999999997"/>
    <n v="58.450001"/>
    <n v="58.029998999999997"/>
    <x v="4029"/>
    <n v="53.398415"/>
    <n v="18162300"/>
  </r>
  <r>
    <x v="7669"/>
    <n v="58.029998999999997"/>
    <n v="58.189999"/>
    <n v="57.619999"/>
    <x v="4030"/>
    <n v="53.068680000000001"/>
    <n v="21655200"/>
  </r>
  <r>
    <x v="7670"/>
    <n v="58.009998000000003"/>
    <n v="58.5"/>
    <n v="57.959999000000003"/>
    <x v="4031"/>
    <n v="53.233550999999999"/>
    <n v="19283900"/>
  </r>
  <r>
    <x v="7671"/>
    <n v="57.610000999999997"/>
    <n v="57.619999"/>
    <n v="57.27"/>
    <x v="4032"/>
    <n v="52.938622000000002"/>
    <n v="20523500"/>
  </r>
  <r>
    <x v="7672"/>
    <n v="57.540000999999997"/>
    <n v="57.68"/>
    <n v="57.23"/>
    <x v="4033"/>
    <n v="53.049225"/>
    <n v="18856400"/>
  </r>
  <r>
    <x v="7673"/>
    <n v="57.419998"/>
    <n v="57.700001"/>
    <n v="57.27"/>
    <x v="4034"/>
    <n v="53.086086000000002"/>
    <n v="14214300"/>
  </r>
  <r>
    <x v="7674"/>
    <n v="57.43"/>
    <n v="57.73"/>
    <n v="57.200001"/>
    <x v="4035"/>
    <n v="53.104506999999998"/>
    <n v="17271000"/>
  </r>
  <r>
    <x v="7675"/>
    <n v="57.599997999999999"/>
    <n v="57.75"/>
    <n v="57.259998000000003"/>
    <x v="4036"/>
    <n v="53.150599999999997"/>
    <n v="15221900"/>
  </r>
  <r>
    <x v="7676"/>
    <n v="57.900002000000001"/>
    <n v="58.18"/>
    <n v="57.849997999999999"/>
    <x v="4037"/>
    <n v="53.353363000000002"/>
    <n v="18732400"/>
  </r>
  <r>
    <x v="7677"/>
    <n v="57.799999"/>
    <n v="58.040000999999997"/>
    <n v="57.720001000000003"/>
    <x v="4038"/>
    <n v="53.408656999999998"/>
    <n v="18151500"/>
  </r>
  <r>
    <x v="7678"/>
    <n v="57.880001"/>
    <n v="58.290000999999997"/>
    <n v="57.779998999999997"/>
    <x v="4039"/>
    <n v="53.611415999999998"/>
    <n v="18552600"/>
  </r>
  <r>
    <x v="7679"/>
    <n v="58.279998999999997"/>
    <n v="58.700001"/>
    <n v="57.689999"/>
    <x v="4040"/>
    <n v="53.482391"/>
    <n v="20971200"/>
  </r>
  <r>
    <x v="7680"/>
    <n v="58.18"/>
    <n v="58.599997999999999"/>
    <n v="58.099997999999999"/>
    <x v="4041"/>
    <n v="53.546908999999999"/>
    <n v="16417200"/>
  </r>
  <r>
    <x v="7681"/>
    <n v="57.98"/>
    <n v="58.189999"/>
    <n v="57.610000999999997"/>
    <x v="4037"/>
    <n v="53.353363000000002"/>
    <n v="16930200"/>
  </r>
  <r>
    <x v="7682"/>
    <n v="57.650002000000001"/>
    <n v="57.799999"/>
    <n v="57.299999"/>
    <x v="4042"/>
    <n v="52.957062000000001"/>
    <n v="20860300"/>
  </r>
  <r>
    <x v="7683"/>
    <n v="57.009998000000003"/>
    <n v="57.82"/>
    <n v="57.009998000000003"/>
    <x v="4043"/>
    <n v="53.076866000000003"/>
    <n v="26075400"/>
  </r>
  <r>
    <x v="7684"/>
    <n v="57.669998"/>
    <n v="58.189999"/>
    <n v="57.419998"/>
    <x v="4036"/>
    <n v="53.150599999999997"/>
    <n v="18900500"/>
  </r>
  <r>
    <x v="7685"/>
    <n v="57.779998999999997"/>
    <n v="57.799999"/>
    <n v="57.209999000000003"/>
    <x v="4044"/>
    <n v="53.095303000000001"/>
    <n v="16278400"/>
  </r>
  <r>
    <x v="7686"/>
    <n v="57.470001000000003"/>
    <n v="57.84"/>
    <n v="57.41"/>
    <x v="4045"/>
    <n v="53.141379999999998"/>
    <n v="17493400"/>
  </r>
  <r>
    <x v="7687"/>
    <n v="57.630001"/>
    <n v="57.790000999999997"/>
    <n v="57.18"/>
    <x v="4046"/>
    <n v="52.929405000000003"/>
    <n v="20146100"/>
  </r>
  <r>
    <x v="7688"/>
    <n v="56.790000999999997"/>
    <n v="57.52"/>
    <n v="56.209999000000003"/>
    <x v="4020"/>
    <n v="51.805016000000002"/>
    <n v="35113900"/>
  </r>
  <r>
    <x v="7689"/>
    <n v="56"/>
    <n v="57.209999000000003"/>
    <n v="55.610000999999997"/>
    <x v="4047"/>
    <n v="52.579189"/>
    <n v="29303000"/>
  </r>
  <r>
    <x v="7690"/>
    <n v="56.5"/>
    <n v="56.650002000000001"/>
    <n v="56.049999"/>
    <x v="4048"/>
    <n v="52.099944999999998"/>
    <n v="30130200"/>
  </r>
  <r>
    <x v="7691"/>
    <n v="56.389999000000003"/>
    <n v="56.630001"/>
    <n v="56.029998999999997"/>
    <x v="4049"/>
    <n v="51.851097000000003"/>
    <n v="24062500"/>
  </r>
  <r>
    <x v="7692"/>
    <n v="56.150002000000001"/>
    <n v="57.349997999999999"/>
    <n v="55.98"/>
    <x v="4050"/>
    <n v="52.708210000000001"/>
    <n v="26847000"/>
  </r>
  <r>
    <x v="7693"/>
    <n v="57.630001"/>
    <n v="57.630001"/>
    <n v="56.75"/>
    <x v="4051"/>
    <n v="52.763511999999999"/>
    <n v="44607000"/>
  </r>
  <r>
    <x v="7694"/>
    <n v="57.27"/>
    <n v="57.75"/>
    <n v="56.849997999999999"/>
    <x v="4052"/>
    <n v="52.468597000000003"/>
    <n v="20937100"/>
  </r>
  <r>
    <x v="7695"/>
    <n v="57.349997999999999"/>
    <n v="57.349997999999999"/>
    <n v="56.75"/>
    <x v="4053"/>
    <n v="52.357998000000002"/>
    <n v="17384000"/>
  </r>
  <r>
    <x v="7696"/>
    <n v="57.509998000000003"/>
    <n v="57.849997999999999"/>
    <n v="57.080002"/>
    <x v="4054"/>
    <n v="53.233539999999998"/>
    <n v="33707300"/>
  </r>
  <r>
    <x v="7697"/>
    <n v="57.919998"/>
    <n v="58"/>
    <n v="57.630001"/>
    <x v="4055"/>
    <n v="53.288837000000001"/>
    <n v="19822200"/>
  </r>
  <r>
    <x v="7698"/>
    <n v="57.869999"/>
    <n v="57.91"/>
    <n v="57.380001"/>
    <x v="4046"/>
    <n v="52.929405000000003"/>
    <n v="19955300"/>
  </r>
  <r>
    <x v="7699"/>
    <n v="57.080002"/>
    <n v="57.139999000000003"/>
    <n v="56.830002"/>
    <x v="4056"/>
    <n v="52.440947999999999"/>
    <n v="21688700"/>
  </r>
  <r>
    <x v="7700"/>
    <n v="56.93"/>
    <n v="58.060001"/>
    <n v="56.68"/>
    <x v="4038"/>
    <n v="53.408656999999998"/>
    <n v="28065100"/>
  </r>
  <r>
    <x v="7701"/>
    <n v="57.880001"/>
    <n v="58.060001"/>
    <n v="57.669998"/>
    <x v="4040"/>
    <n v="53.482391"/>
    <n v="20536400"/>
  </r>
  <r>
    <x v="7702"/>
    <n v="57.810001"/>
    <n v="58.169998"/>
    <n v="57.209999000000003"/>
    <x v="4057"/>
    <n v="52.901767999999997"/>
    <n v="25463500"/>
  </r>
  <r>
    <x v="7703"/>
    <n v="57.57"/>
    <n v="57.77"/>
    <n v="57.34"/>
    <x v="4034"/>
    <n v="53.086086000000002"/>
    <n v="29910800"/>
  </r>
  <r>
    <x v="7704"/>
    <n v="57.41"/>
    <n v="57.549999"/>
    <n v="57.060001"/>
    <x v="4058"/>
    <n v="52.920189000000001"/>
    <n v="19189500"/>
  </r>
  <r>
    <x v="7705"/>
    <n v="57.27"/>
    <n v="57.599997999999999"/>
    <n v="56.970001000000003"/>
    <x v="4059"/>
    <n v="52.754303"/>
    <n v="20085900"/>
  </r>
  <r>
    <x v="7706"/>
    <n v="57.290000999999997"/>
    <n v="57.959999000000003"/>
    <n v="57.259998000000003"/>
    <x v="4060"/>
    <n v="53.122943999999997"/>
    <n v="16726400"/>
  </r>
  <r>
    <x v="7707"/>
    <n v="57.740001999999997"/>
    <n v="57.860000999999997"/>
    <n v="57.279998999999997"/>
    <x v="4061"/>
    <n v="53.215122000000001"/>
    <n v="16212600"/>
  </r>
  <r>
    <x v="7708"/>
    <n v="57.849997999999999"/>
    <n v="57.98"/>
    <n v="57.419998"/>
    <x v="4062"/>
    <n v="53.270409000000001"/>
    <n v="20089000"/>
  </r>
  <r>
    <x v="7709"/>
    <n v="57.91"/>
    <n v="58.389999000000003"/>
    <n v="57.869999"/>
    <x v="4063"/>
    <n v="53.491604000000002"/>
    <n v="18196500"/>
  </r>
  <r>
    <x v="7710"/>
    <n v="57.889999000000003"/>
    <n v="58.02"/>
    <n v="56.889999000000003"/>
    <x v="4050"/>
    <n v="52.708210000000001"/>
    <n v="26497400"/>
  </r>
  <r>
    <x v="7711"/>
    <n v="57.110000999999997"/>
    <n v="57.27"/>
    <n v="56.400002000000001"/>
    <x v="4064"/>
    <n v="52.634487"/>
    <n v="22177500"/>
  </r>
  <r>
    <x v="7712"/>
    <n v="56.700001"/>
    <n v="57.299999"/>
    <n v="56.32"/>
    <x v="4065"/>
    <n v="52.459377000000003"/>
    <n v="25313700"/>
  </r>
  <r>
    <x v="7713"/>
    <n v="57.119999"/>
    <n v="57.740001999999997"/>
    <n v="57.119999"/>
    <x v="4058"/>
    <n v="52.920189000000001"/>
    <n v="27402500"/>
  </r>
  <r>
    <x v="7714"/>
    <n v="57.360000999999997"/>
    <n v="57.459999000000003"/>
    <n v="56.869999"/>
    <x v="4066"/>
    <n v="52.735869999999998"/>
    <n v="23830000"/>
  </r>
  <r>
    <x v="7715"/>
    <n v="57.529998999999997"/>
    <n v="57.950001"/>
    <n v="57.41"/>
    <x v="4045"/>
    <n v="53.141379999999998"/>
    <n v="19149500"/>
  </r>
  <r>
    <x v="7716"/>
    <n v="57.470001000000003"/>
    <n v="57.84"/>
    <n v="57.400002000000001"/>
    <x v="4067"/>
    <n v="53.021560999999998"/>
    <n v="22878400"/>
  </r>
  <r>
    <x v="7717"/>
    <n v="57.5"/>
    <n v="57.52"/>
    <n v="56.66"/>
    <x v="4051"/>
    <n v="52.763511999999999"/>
    <n v="49455600"/>
  </r>
  <r>
    <x v="7718"/>
    <n v="60.279998999999997"/>
    <n v="60.450001"/>
    <n v="59.490001999999997"/>
    <x v="4068"/>
    <n v="54.984650000000002"/>
    <n v="80032200"/>
  </r>
  <r>
    <x v="7719"/>
    <n v="59.939999"/>
    <n v="61"/>
    <n v="59.93"/>
    <x v="4069"/>
    <n v="56.219634999999997"/>
    <n v="54067000"/>
  </r>
  <r>
    <x v="7720"/>
    <n v="60.849997999999999"/>
    <n v="61.369999"/>
    <n v="60.799999"/>
    <x v="4070"/>
    <n v="56.210433999999999"/>
    <n v="35137200"/>
  </r>
  <r>
    <x v="7721"/>
    <n v="60.810001"/>
    <n v="61.200001"/>
    <n v="60.470001000000003"/>
    <x v="4071"/>
    <n v="55.878639"/>
    <n v="29911600"/>
  </r>
  <r>
    <x v="7722"/>
    <n v="60.610000999999997"/>
    <n v="60.830002"/>
    <n v="60.09"/>
    <x v="4072"/>
    <n v="55.390174999999999"/>
    <n v="28479900"/>
  </r>
  <r>
    <x v="7723"/>
    <n v="60.009998000000003"/>
    <n v="60.52"/>
    <n v="59.580002"/>
    <x v="4073"/>
    <n v="55.178199999999997"/>
    <n v="33574700"/>
  </r>
  <r>
    <x v="7724"/>
    <n v="60.16"/>
    <n v="60.419998"/>
    <n v="59.919998"/>
    <x v="4074"/>
    <n v="55.224274000000001"/>
    <n v="26434700"/>
  </r>
  <r>
    <x v="7725"/>
    <n v="59.970001000000003"/>
    <n v="60.02"/>
    <n v="59.25"/>
    <x v="4075"/>
    <n v="55.113674000000003"/>
    <n v="24533000"/>
  </r>
  <r>
    <x v="7726"/>
    <n v="59.82"/>
    <n v="59.93"/>
    <n v="59.299999"/>
    <x v="4076"/>
    <n v="54.772677999999999"/>
    <n v="22147000"/>
  </r>
  <r>
    <x v="7727"/>
    <n v="59.529998999999997"/>
    <n v="59.639999000000003"/>
    <n v="59.110000999999997"/>
    <x v="4077"/>
    <n v="54.569912000000002"/>
    <n v="21600400"/>
  </r>
  <r>
    <x v="7728"/>
    <n v="58.650002000000001"/>
    <n v="59.279998999999997"/>
    <n v="58.52"/>
    <x v="4078"/>
    <n v="54.109093000000001"/>
    <n v="28697000"/>
  </r>
  <r>
    <x v="7729"/>
    <n v="59.779998999999997"/>
    <n v="60.52"/>
    <n v="59.779998999999997"/>
    <x v="4079"/>
    <n v="55.685085000000001"/>
    <n v="31664800"/>
  </r>
  <r>
    <x v="7730"/>
    <n v="60.549999"/>
    <n v="60.779998999999997"/>
    <n v="60.150002000000001"/>
    <x v="4080"/>
    <n v="55.731178"/>
    <n v="22935400"/>
  </r>
  <r>
    <x v="7731"/>
    <n v="60"/>
    <n v="60.59"/>
    <n v="59.200001"/>
    <x v="4081"/>
    <n v="55.454681000000001"/>
    <n v="49632500"/>
  </r>
  <r>
    <x v="7732"/>
    <n v="60.48"/>
    <n v="60.490001999999997"/>
    <n v="57.630001"/>
    <x v="4082"/>
    <n v="54.099868999999998"/>
    <n v="57822400"/>
  </r>
  <r>
    <x v="7733"/>
    <n v="58.23"/>
    <n v="59.119999"/>
    <n v="58.009998000000003"/>
    <x v="4083"/>
    <n v="54.39481"/>
    <n v="38767800"/>
  </r>
  <r>
    <x v="7734"/>
    <n v="59.02"/>
    <n v="59.080002"/>
    <n v="57.279998999999997"/>
    <x v="4031"/>
    <n v="53.565334"/>
    <n v="41328400"/>
  </r>
  <r>
    <x v="7735"/>
    <n v="58.330002"/>
    <n v="59.490001999999997"/>
    <n v="58.32"/>
    <x v="4084"/>
    <n v="54.623092999999997"/>
    <n v="35904100"/>
  </r>
  <r>
    <x v="7736"/>
    <n v="58.939999"/>
    <n v="59.66"/>
    <n v="58.810001"/>
    <x v="4085"/>
    <n v="55.346828000000002"/>
    <n v="27332500"/>
  </r>
  <r>
    <x v="7737"/>
    <n v="60.41"/>
    <n v="60.950001"/>
    <n v="59.970001000000003"/>
    <x v="4086"/>
    <n v="56.265408000000001"/>
    <n v="32132700"/>
  </r>
  <r>
    <x v="7738"/>
    <n v="60.779998999999997"/>
    <n v="61.139999000000003"/>
    <n v="60.299999"/>
    <x v="4087"/>
    <n v="55.99633"/>
    <n v="27686300"/>
  </r>
  <r>
    <x v="7739"/>
    <n v="60.5"/>
    <n v="60.970001000000003"/>
    <n v="60.419998"/>
    <x v="4088"/>
    <n v="56.469540000000002"/>
    <n v="19652600"/>
  </r>
  <r>
    <x v="7740"/>
    <n v="60.98"/>
    <n v="61.259998000000003"/>
    <n v="60.810001"/>
    <x v="4089"/>
    <n v="56.710785000000001"/>
    <n v="23206700"/>
  </r>
  <r>
    <x v="7741"/>
    <n v="61.009998000000003"/>
    <n v="61.099997999999999"/>
    <n v="60.25"/>
    <x v="4090"/>
    <n v="56.042727999999997"/>
    <n v="21848900"/>
  </r>
  <r>
    <x v="7742"/>
    <n v="60.299999"/>
    <n v="60.529998999999997"/>
    <n v="60.130001"/>
    <x v="4091"/>
    <n v="56.163345"/>
    <n v="8409600"/>
  </r>
  <r>
    <x v="7743"/>
    <n v="60.34"/>
    <n v="61.02"/>
    <n v="60.209999000000003"/>
    <x v="4092"/>
    <n v="56.237572"/>
    <n v="20732600"/>
  </r>
  <r>
    <x v="7744"/>
    <n v="60.650002000000001"/>
    <n v="61.41"/>
    <n v="60.52"/>
    <x v="4093"/>
    <n v="56.682938"/>
    <n v="22366700"/>
  </r>
  <r>
    <x v="7745"/>
    <n v="60.860000999999997"/>
    <n v="61.18"/>
    <n v="60.220001000000003"/>
    <x v="4094"/>
    <n v="55.912818999999999"/>
    <n v="34655400"/>
  </r>
  <r>
    <x v="7746"/>
    <n v="60.110000999999997"/>
    <n v="60.150002000000001"/>
    <n v="58.939999"/>
    <x v="4095"/>
    <n v="54.929305999999997"/>
    <n v="34542100"/>
  </r>
  <r>
    <x v="7747"/>
    <n v="59.080002"/>
    <n v="59.470001000000003"/>
    <n v="58.799999"/>
    <x v="4096"/>
    <n v="54.975676999999997"/>
    <n v="25515700"/>
  </r>
  <r>
    <x v="7748"/>
    <n v="59.700001"/>
    <n v="60.59"/>
    <n v="59.560001"/>
    <x v="4097"/>
    <n v="55.875709999999998"/>
    <n v="23552700"/>
  </r>
  <r>
    <x v="7749"/>
    <n v="60.43"/>
    <n v="60.459999000000003"/>
    <n v="59.799999"/>
    <x v="4098"/>
    <n v="55.625191000000001"/>
    <n v="19907000"/>
  </r>
  <r>
    <x v="7750"/>
    <n v="60.009998000000003"/>
    <n v="61.380001"/>
    <n v="59.799999"/>
    <x v="4099"/>
    <n v="56.942748999999999"/>
    <n v="30809000"/>
  </r>
  <r>
    <x v="7751"/>
    <n v="61.299999"/>
    <n v="61.580002"/>
    <n v="60.84"/>
    <x v="4100"/>
    <n v="56.608699999999999"/>
    <n v="21220800"/>
  </r>
  <r>
    <x v="7752"/>
    <n v="61.18"/>
    <n v="61.990001999999997"/>
    <n v="61.130001"/>
    <x v="4101"/>
    <n v="57.499473999999999"/>
    <n v="27349400"/>
  </r>
  <r>
    <x v="7753"/>
    <n v="61.82"/>
    <n v="62.299999"/>
    <n v="61.720001000000003"/>
    <x v="4102"/>
    <n v="57.685032"/>
    <n v="20198100"/>
  </r>
  <r>
    <x v="7754"/>
    <n v="62.5"/>
    <n v="63.419998"/>
    <n v="62.240001999999997"/>
    <x v="4103"/>
    <n v="58.436588"/>
    <n v="35718900"/>
  </r>
  <r>
    <x v="7755"/>
    <n v="63"/>
    <n v="63.450001"/>
    <n v="62.529998999999997"/>
    <x v="4104"/>
    <n v="58.158237"/>
    <n v="30352700"/>
  </r>
  <r>
    <x v="7756"/>
    <n v="62.700001"/>
    <n v="63.150002000000001"/>
    <n v="62.299999"/>
    <x v="4105"/>
    <n v="58.065463999999999"/>
    <n v="27669900"/>
  </r>
  <r>
    <x v="7757"/>
    <n v="62.950001"/>
    <n v="62.950001"/>
    <n v="62.119999"/>
    <x v="4106"/>
    <n v="57.805653"/>
    <n v="42453100"/>
  </r>
  <r>
    <x v="7758"/>
    <n v="62.560001"/>
    <n v="63.77"/>
    <n v="62.419998"/>
    <x v="4107"/>
    <n v="59.030422000000002"/>
    <n v="34338200"/>
  </r>
  <r>
    <x v="7759"/>
    <n v="63.689999"/>
    <n v="63.799999"/>
    <n v="63.029998999999997"/>
    <x v="4108"/>
    <n v="58.956200000000003"/>
    <n v="26028400"/>
  </r>
  <r>
    <x v="7760"/>
    <n v="63.43"/>
    <n v="63.700001"/>
    <n v="63.119999"/>
    <x v="4108"/>
    <n v="58.956200000000003"/>
    <n v="17096300"/>
  </r>
  <r>
    <x v="7761"/>
    <n v="63.84"/>
    <n v="64.099997999999999"/>
    <n v="63.41"/>
    <x v="4109"/>
    <n v="58.965473000000003"/>
    <n v="22176600"/>
  </r>
  <r>
    <x v="7762"/>
    <n v="63.450001"/>
    <n v="63.540000999999997"/>
    <n v="62.799999"/>
    <x v="4110"/>
    <n v="58.677844999999998"/>
    <n v="12403800"/>
  </r>
  <r>
    <x v="7763"/>
    <n v="63.209999000000003"/>
    <n v="64.069999999999993"/>
    <n v="63.209999000000003"/>
    <x v="4111"/>
    <n v="58.714958000000003"/>
    <n v="11763200"/>
  </r>
  <r>
    <x v="7764"/>
    <n v="63.400002000000001"/>
    <n v="63.400002000000001"/>
    <n v="62.830002"/>
    <x v="4112"/>
    <n v="58.445889000000001"/>
    <n v="14653300"/>
  </r>
  <r>
    <x v="7765"/>
    <n v="62.860000999999997"/>
    <n v="63.200001"/>
    <n v="62.73"/>
    <x v="4113"/>
    <n v="58.362372999999998"/>
    <n v="10250600"/>
  </r>
  <r>
    <x v="7766"/>
    <n v="62.959999000000003"/>
    <n v="62.990001999999997"/>
    <n v="62.029998999999997"/>
    <x v="4114"/>
    <n v="57.657200000000003"/>
    <n v="25579900"/>
  </r>
  <r>
    <x v="7767"/>
    <n v="62.790000999999997"/>
    <n v="62.84"/>
    <n v="62.130001"/>
    <x v="4105"/>
    <n v="58.065463999999999"/>
    <n v="20694100"/>
  </r>
  <r>
    <x v="7768"/>
    <n v="62.48"/>
    <n v="62.75"/>
    <n v="62.119999"/>
    <x v="4106"/>
    <n v="57.805653"/>
    <n v="21340000"/>
  </r>
  <r>
    <x v="7769"/>
    <n v="62.189999"/>
    <n v="62.66"/>
    <n v="62.029998999999997"/>
    <x v="4106"/>
    <n v="57.805653"/>
    <n v="24876000"/>
  </r>
  <r>
    <x v="7770"/>
    <n v="62.299999"/>
    <n v="63.150002000000001"/>
    <n v="62.040000999999997"/>
    <x v="4115"/>
    <n v="58.306702000000001"/>
    <n v="19922900"/>
  </r>
  <r>
    <x v="7771"/>
    <n v="62.759998000000003"/>
    <n v="63.080002"/>
    <n v="62.540000999999997"/>
    <x v="4116"/>
    <n v="58.121116999999998"/>
    <n v="20382700"/>
  </r>
  <r>
    <x v="7772"/>
    <n v="62.73"/>
    <n v="63.07"/>
    <n v="62.279998999999997"/>
    <x v="4117"/>
    <n v="58.102558000000002"/>
    <n v="18593000"/>
  </r>
  <r>
    <x v="7773"/>
    <n v="62.610000999999997"/>
    <n v="63.23"/>
    <n v="62.43"/>
    <x v="4118"/>
    <n v="58.631439"/>
    <n v="21517300"/>
  </r>
  <r>
    <x v="7774"/>
    <n v="63.060001"/>
    <n v="63.400002000000001"/>
    <n v="61.950001"/>
    <x v="4119"/>
    <n v="58.093288000000001"/>
    <n v="20968200"/>
  </r>
  <r>
    <x v="7775"/>
    <n v="62.619999"/>
    <n v="62.869999"/>
    <n v="62.349997999999999"/>
    <x v="4120"/>
    <n v="58.176796000000003"/>
    <n v="19422300"/>
  </r>
  <r>
    <x v="7776"/>
    <n v="62.68"/>
    <n v="62.700001"/>
    <n v="62.029998999999997"/>
    <x v="4121"/>
    <n v="58.019061999999998"/>
    <n v="20664000"/>
  </r>
  <r>
    <x v="7777"/>
    <n v="62.669998"/>
    <n v="62.700001"/>
    <n v="62.119999"/>
    <x v="4122"/>
    <n v="57.991222"/>
    <n v="19670100"/>
  </r>
  <r>
    <x v="7778"/>
    <n v="62.240001999999997"/>
    <n v="62.98"/>
    <n v="62.200001"/>
    <x v="4106"/>
    <n v="57.805653"/>
    <n v="18451700"/>
  </r>
  <r>
    <x v="7779"/>
    <n v="62.669998"/>
    <n v="62.82"/>
    <n v="62.369999"/>
    <x v="4123"/>
    <n v="58.213904999999997"/>
    <n v="30213500"/>
  </r>
  <r>
    <x v="7780"/>
    <n v="62.700001"/>
    <n v="63.119999"/>
    <n v="62.57"/>
    <x v="4124"/>
    <n v="58.418041000000002"/>
    <n v="23097600"/>
  </r>
  <r>
    <x v="7781"/>
    <n v="63.200001"/>
    <n v="63.740001999999997"/>
    <n v="62.939999"/>
    <x v="4125"/>
    <n v="58.937655999999997"/>
    <n v="24672900"/>
  </r>
  <r>
    <x v="7782"/>
    <n v="63.950001"/>
    <n v="64.099997999999999"/>
    <n v="63.450001"/>
    <x v="4126"/>
    <n v="59.086094000000003"/>
    <n v="23672700"/>
  </r>
  <r>
    <x v="7783"/>
    <n v="64.120002999999997"/>
    <n v="64.540001000000004"/>
    <n v="63.549999"/>
    <x v="4127"/>
    <n v="59.633533"/>
    <n v="43554600"/>
  </r>
  <r>
    <x v="7784"/>
    <n v="65.389999000000003"/>
    <n v="65.910004000000001"/>
    <n v="64.889999000000003"/>
    <x v="4128"/>
    <n v="61.034610999999998"/>
    <n v="44818000"/>
  </r>
  <r>
    <x v="7785"/>
    <n v="65.690002000000007"/>
    <n v="65.790001000000004"/>
    <n v="64.800003000000004"/>
    <x v="4129"/>
    <n v="60.431496000000003"/>
    <n v="31651400"/>
  </r>
  <r>
    <x v="7786"/>
    <n v="64.860000999999997"/>
    <n v="65.150002000000001"/>
    <n v="64.260002"/>
    <x v="4130"/>
    <n v="59.986117999999998"/>
    <n v="25270500"/>
  </r>
  <r>
    <x v="7787"/>
    <n v="64.360000999999997"/>
    <n v="64.620002999999997"/>
    <n v="63.470001000000003"/>
    <x v="4131"/>
    <n v="58.993316999999998"/>
    <n v="39671500"/>
  </r>
  <r>
    <x v="7788"/>
    <n v="63.25"/>
    <n v="63.41"/>
    <n v="62.75"/>
    <x v="4132"/>
    <n v="58.612887999999998"/>
    <n v="45827000"/>
  </r>
  <r>
    <x v="7789"/>
    <n v="63.5"/>
    <n v="63.700001"/>
    <n v="63.07"/>
    <x v="4126"/>
    <n v="59.086094000000003"/>
    <n v="30301800"/>
  </r>
  <r>
    <x v="7790"/>
    <n v="63.5"/>
    <n v="63.650002000000001"/>
    <n v="63.139999000000003"/>
    <x v="4133"/>
    <n v="59.048977000000001"/>
    <n v="19796400"/>
  </r>
  <r>
    <x v="7791"/>
    <n v="63.740001999999997"/>
    <n v="63.779998999999997"/>
    <n v="63.23"/>
    <x v="4134"/>
    <n v="58.854140999999998"/>
    <n v="20277200"/>
  </r>
  <r>
    <x v="7792"/>
    <n v="63.57"/>
    <n v="63.810001"/>
    <n v="63.220001000000003"/>
    <x v="4135"/>
    <n v="58.770634000000001"/>
    <n v="18096400"/>
  </r>
  <r>
    <x v="7793"/>
    <n v="63.52"/>
    <n v="64.440002000000007"/>
    <n v="63.32"/>
    <x v="4136"/>
    <n v="59.438682999999997"/>
    <n v="22644400"/>
  </r>
  <r>
    <x v="7794"/>
    <n v="64.25"/>
    <n v="64.300003000000004"/>
    <n v="63.98"/>
    <x v="4137"/>
    <n v="59.383003000000002"/>
    <n v="18170700"/>
  </r>
  <r>
    <x v="7795"/>
    <n v="64.239998"/>
    <n v="64.860000999999997"/>
    <n v="64.129997000000003"/>
    <x v="4138"/>
    <n v="60.051079000000001"/>
    <n v="22920100"/>
  </r>
  <r>
    <x v="7796"/>
    <n v="64.410004000000001"/>
    <n v="64.720000999999996"/>
    <n v="64.019997000000004"/>
    <x v="4139"/>
    <n v="60.275115999999997"/>
    <n v="23108400"/>
  </r>
  <r>
    <x v="7797"/>
    <n v="64.5"/>
    <n v="64.569999999999993"/>
    <n v="64.160004000000001"/>
    <x v="4140"/>
    <n v="60.237761999999996"/>
    <n v="17005200"/>
  </r>
  <r>
    <x v="7798"/>
    <n v="64.739998"/>
    <n v="65.239998"/>
    <n v="64.440002000000007"/>
    <x v="4141"/>
    <n v="60.228439000000002"/>
    <n v="20546300"/>
  </r>
  <r>
    <x v="7799"/>
    <n v="64.470000999999996"/>
    <n v="64.690002000000007"/>
    <n v="64.300003000000004"/>
    <x v="4142"/>
    <n v="60.321795999999999"/>
    <n v="21248800"/>
  </r>
  <r>
    <x v="7800"/>
    <n v="64.610000999999997"/>
    <n v="64.949996999999996"/>
    <n v="64.449996999999996"/>
    <x v="4143"/>
    <n v="60.200431999999999"/>
    <n v="20655900"/>
  </r>
  <r>
    <x v="7801"/>
    <n v="64.330001999999993"/>
    <n v="64.389999000000003"/>
    <n v="64.050003000000004"/>
    <x v="4144"/>
    <n v="60.079079"/>
    <n v="19292700"/>
  </r>
  <r>
    <x v="7802"/>
    <n v="64.419998000000007"/>
    <n v="64.730002999999996"/>
    <n v="64.190002000000007"/>
    <x v="4142"/>
    <n v="60.321795999999999"/>
    <n v="20273100"/>
  </r>
  <r>
    <x v="7803"/>
    <n v="64.529999000000004"/>
    <n v="64.800003000000004"/>
    <n v="64.139999000000003"/>
    <x v="4142"/>
    <n v="60.321795999999999"/>
    <n v="21796800"/>
  </r>
  <r>
    <x v="7804"/>
    <n v="64.540001000000004"/>
    <n v="64.540001000000004"/>
    <n v="64.050003000000004"/>
    <x v="4145"/>
    <n v="59.957718"/>
    <n v="15871500"/>
  </r>
  <r>
    <x v="7805"/>
    <n v="64.080001999999993"/>
    <n v="64.199996999999996"/>
    <n v="63.759998000000003"/>
    <x v="4146"/>
    <n v="59.724361000000002"/>
    <n v="23239800"/>
  </r>
  <r>
    <x v="7806"/>
    <n v="64.129997000000003"/>
    <n v="64.989998"/>
    <n v="64.019997000000004"/>
    <x v="4147"/>
    <n v="60.620499000000002"/>
    <n v="26937500"/>
  </r>
  <r>
    <x v="7807"/>
    <n v="64.690002000000007"/>
    <n v="64.75"/>
    <n v="63.880001"/>
    <x v="4148"/>
    <n v="59.752361000000001"/>
    <n v="24539600"/>
  </r>
  <r>
    <x v="7808"/>
    <n v="63.990001999999997"/>
    <n v="64.279999000000004"/>
    <n v="63.619999"/>
    <x v="4149"/>
    <n v="59.976398000000003"/>
    <n v="18135900"/>
  </r>
  <r>
    <x v="7809"/>
    <n v="63.970001000000003"/>
    <n v="64.559997999999993"/>
    <n v="63.810001"/>
    <x v="4127"/>
    <n v="59.995060000000002"/>
    <n v="18750300"/>
  </r>
  <r>
    <x v="7810"/>
    <n v="64.190002000000007"/>
    <n v="64.779999000000004"/>
    <n v="64.190002000000007"/>
    <x v="4150"/>
    <n v="60.116413000000001"/>
    <n v="18521000"/>
  </r>
  <r>
    <x v="7811"/>
    <n v="64.260002"/>
    <n v="65.080001999999993"/>
    <n v="64.25"/>
    <x v="4151"/>
    <n v="60.667160000000003"/>
    <n v="21510900"/>
  </r>
  <r>
    <x v="7812"/>
    <n v="65.190002000000007"/>
    <n v="65.199996999999996"/>
    <n v="64.480002999999996"/>
    <x v="4152"/>
    <n v="60.424464999999998"/>
    <n v="19846800"/>
  </r>
  <r>
    <x v="7813"/>
    <n v="65.110000999999997"/>
    <n v="65.260002"/>
    <n v="64.75"/>
    <x v="4153"/>
    <n v="60.611159999999998"/>
    <n v="19538200"/>
  </r>
  <r>
    <x v="7814"/>
    <n v="65.010002"/>
    <n v="65.190002000000007"/>
    <n v="64.569999999999993"/>
    <x v="4154"/>
    <n v="60.405796000000002"/>
    <n v="20100000"/>
  </r>
  <r>
    <x v="7815"/>
    <n v="64.529999000000004"/>
    <n v="64.550003000000004"/>
    <n v="64.150002000000001"/>
    <x v="4155"/>
    <n v="60.125759000000002"/>
    <n v="14280200"/>
  </r>
  <r>
    <x v="7816"/>
    <n v="64.550003000000004"/>
    <n v="64.919998000000007"/>
    <n v="64.25"/>
    <x v="4156"/>
    <n v="60.443137999999998"/>
    <n v="24833800"/>
  </r>
  <r>
    <x v="7817"/>
    <n v="64.75"/>
    <n v="64.760002"/>
    <n v="64.300003000000004"/>
    <x v="4157"/>
    <n v="60.340454000000001"/>
    <n v="20674300"/>
  </r>
  <r>
    <x v="7818"/>
    <n v="64.910004000000001"/>
    <n v="65.239998"/>
    <n v="64.680000000000007"/>
    <x v="4158"/>
    <n v="60.555168000000002"/>
    <n v="49219700"/>
  </r>
  <r>
    <x v="7819"/>
    <n v="64.910004000000001"/>
    <n v="65.180000000000007"/>
    <n v="64.720000999999996"/>
    <x v="4153"/>
    <n v="60.611159999999998"/>
    <n v="14598100"/>
  </r>
  <r>
    <x v="7820"/>
    <n v="65.190002000000007"/>
    <n v="65.5"/>
    <n v="64.129997000000003"/>
    <x v="4159"/>
    <n v="59.939056000000001"/>
    <n v="26640500"/>
  </r>
  <r>
    <x v="7821"/>
    <n v="64.120002999999997"/>
    <n v="65.139999000000003"/>
    <n v="64.120002999999997"/>
    <x v="4160"/>
    <n v="60.704517000000003"/>
    <n v="20680000"/>
  </r>
  <r>
    <x v="7822"/>
    <n v="64.940002000000007"/>
    <n v="65.239998"/>
    <n v="64.769997000000004"/>
    <x v="4158"/>
    <n v="60.555168000000002"/>
    <n v="19269200"/>
  </r>
  <r>
    <x v="7823"/>
    <n v="65.360000999999997"/>
    <n v="65.449996999999996"/>
    <n v="64.760002"/>
    <x v="4161"/>
    <n v="60.657840999999998"/>
    <n v="22617100"/>
  </r>
  <r>
    <x v="7824"/>
    <n v="64.629997000000003"/>
    <n v="65.220000999999996"/>
    <n v="64.349997999999999"/>
    <x v="4162"/>
    <n v="60.769855"/>
    <n v="18614700"/>
  </r>
  <r>
    <x v="7825"/>
    <n v="64.959998999999996"/>
    <n v="65.470000999999996"/>
    <n v="64.650002000000001"/>
    <x v="4163"/>
    <n v="60.947223999999999"/>
    <n v="20080400"/>
  </r>
  <r>
    <x v="7826"/>
    <n v="65.120002999999997"/>
    <n v="65.5"/>
    <n v="64.949996999999996"/>
    <x v="4164"/>
    <n v="61.115253000000003"/>
    <n v="13618400"/>
  </r>
  <r>
    <x v="7827"/>
    <n v="65.419998000000007"/>
    <n v="65.980002999999996"/>
    <n v="65.360000999999997"/>
    <x v="4165"/>
    <n v="61.339294000000002"/>
    <n v="15122800"/>
  </r>
  <r>
    <x v="7828"/>
    <n v="65.650002000000001"/>
    <n v="66.190002000000007"/>
    <n v="65.449996999999996"/>
    <x v="4166"/>
    <n v="61.479309000000001"/>
    <n v="21040300"/>
  </r>
  <r>
    <x v="7829"/>
    <n v="65.809997999999993"/>
    <n v="65.940002000000007"/>
    <n v="65.190002000000007"/>
    <x v="4167"/>
    <n v="61.189940999999997"/>
    <n v="20400900"/>
  </r>
  <r>
    <x v="7830"/>
    <n v="65.389999000000003"/>
    <n v="65.809997999999993"/>
    <n v="65.279999000000004"/>
    <x v="4168"/>
    <n v="61.357970999999999"/>
    <n v="12997400"/>
  </r>
  <r>
    <x v="7831"/>
    <n v="66.300003000000004"/>
    <n v="66.349997999999999"/>
    <n v="65.440002000000007"/>
    <x v="4169"/>
    <n v="61.199264999999997"/>
    <n v="21448600"/>
  </r>
  <r>
    <x v="7832"/>
    <n v="65.599997999999999"/>
    <n v="66.059997999999993"/>
    <n v="65.480002999999996"/>
    <x v="4168"/>
    <n v="61.357970999999999"/>
    <n v="18103500"/>
  </r>
  <r>
    <x v="7833"/>
    <n v="65.849997999999999"/>
    <n v="65.959998999999996"/>
    <n v="65.440002000000007"/>
    <x v="4170"/>
    <n v="61.311278999999999"/>
    <n v="14108500"/>
  </r>
  <r>
    <x v="7834"/>
    <n v="65.610000999999997"/>
    <n v="65.819999999999993"/>
    <n v="65.360000999999997"/>
    <x v="4171"/>
    <n v="61.171253"/>
    <n v="17952700"/>
  </r>
  <r>
    <x v="7835"/>
    <n v="65.599997999999999"/>
    <n v="65.610000999999997"/>
    <n v="64.849997999999999"/>
    <x v="4172"/>
    <n v="61.124577000000002"/>
    <n v="18791500"/>
  </r>
  <r>
    <x v="7836"/>
    <n v="65.419998000000007"/>
    <n v="65.510002"/>
    <n v="65.110000999999997"/>
    <x v="4173"/>
    <n v="60.891216"/>
    <n v="17108500"/>
  </r>
  <r>
    <x v="7837"/>
    <n v="65.290001000000004"/>
    <n v="65.860000999999997"/>
    <n v="64.949996999999996"/>
    <x v="4174"/>
    <n v="60.629840999999999"/>
    <n v="17896500"/>
  </r>
  <r>
    <x v="7838"/>
    <n v="65.040001000000004"/>
    <n v="65.489998"/>
    <n v="65.010002"/>
    <x v="4172"/>
    <n v="61.124577000000002"/>
    <n v="16689300"/>
  </r>
  <r>
    <x v="7839"/>
    <n v="65.330001999999993"/>
    <n v="65.709998999999996"/>
    <n v="65.160004000000001"/>
    <x v="4175"/>
    <n v="61.040573000000002"/>
    <n v="15155600"/>
  </r>
  <r>
    <x v="7840"/>
    <n v="65.650002000000001"/>
    <n v="65.75"/>
    <n v="64.889999000000003"/>
    <x v="4176"/>
    <n v="60.713847999999999"/>
    <n v="26992800"/>
  </r>
  <r>
    <x v="7841"/>
    <n v="65.459998999999996"/>
    <n v="65.75"/>
    <n v="65.139999000000003"/>
    <x v="4177"/>
    <n v="61.143250000000002"/>
    <n v="22299500"/>
  </r>
  <r>
    <x v="7842"/>
    <n v="65.669998000000007"/>
    <n v="66.699996999999996"/>
    <n v="65.449996999999996"/>
    <x v="4178"/>
    <n v="61.983406000000002"/>
    <n v="32522600"/>
  </r>
  <r>
    <x v="7843"/>
    <n v="67.480002999999996"/>
    <n v="67.660004000000001"/>
    <n v="67.099997999999999"/>
    <x v="4179"/>
    <n v="63.038238999999997"/>
    <n v="29770000"/>
  </r>
  <r>
    <x v="7844"/>
    <n v="67.900002000000001"/>
    <n v="68.040001000000004"/>
    <n v="67.599997999999999"/>
    <x v="4180"/>
    <n v="63.402287000000001"/>
    <n v="30242700"/>
  </r>
  <r>
    <x v="7845"/>
    <n v="68.080001999999993"/>
    <n v="68.309997999999993"/>
    <n v="67.620002999999997"/>
    <x v="4181"/>
    <n v="63.318275"/>
    <n v="26190800"/>
  </r>
  <r>
    <x v="7846"/>
    <n v="68.150002000000001"/>
    <n v="68.379997000000003"/>
    <n v="67.580001999999993"/>
    <x v="4182"/>
    <n v="63.728991999999998"/>
    <n v="34971000"/>
  </r>
  <r>
    <x v="7847"/>
    <n v="68.910004000000001"/>
    <n v="69.139999000000003"/>
    <n v="67.690002000000007"/>
    <x v="4183"/>
    <n v="63.906368000000001"/>
    <n v="39548800"/>
  </r>
  <r>
    <x v="7848"/>
    <n v="68.680000000000007"/>
    <n v="69.550003000000004"/>
    <n v="68.5"/>
    <x v="4184"/>
    <n v="64.793182000000002"/>
    <n v="31954400"/>
  </r>
  <r>
    <x v="7849"/>
    <n v="69.709998999999996"/>
    <n v="69.709998999999996"/>
    <n v="69.129997000000003"/>
    <x v="4185"/>
    <n v="64.690475000000006"/>
    <n v="23906100"/>
  </r>
  <r>
    <x v="7850"/>
    <n v="69.379997000000003"/>
    <n v="69.379997000000003"/>
    <n v="68.709998999999996"/>
    <x v="4186"/>
    <n v="64.485106999999999"/>
    <n v="28928000"/>
  </r>
  <r>
    <x v="7851"/>
    <n v="69.029999000000004"/>
    <n v="69.080001999999993"/>
    <n v="68.639999000000003"/>
    <x v="4187"/>
    <n v="64.233101000000005"/>
    <n v="21749400"/>
  </r>
  <r>
    <x v="7852"/>
    <n v="68.900002000000001"/>
    <n v="69.029999000000004"/>
    <n v="68.489998"/>
    <x v="4188"/>
    <n v="64.410445999999993"/>
    <n v="19128800"/>
  </r>
  <r>
    <x v="7853"/>
    <n v="68.970000999999996"/>
    <n v="69.050003000000004"/>
    <n v="68.419998000000007"/>
    <x v="4189"/>
    <n v="64.354445999999996"/>
    <n v="18566100"/>
  </r>
  <r>
    <x v="7854"/>
    <n v="68.860000999999997"/>
    <n v="69.279999000000004"/>
    <n v="68.680000000000007"/>
    <x v="4190"/>
    <n v="64.447792000000007"/>
    <n v="22858400"/>
  </r>
  <r>
    <x v="7855"/>
    <n v="68.989998"/>
    <n v="69.559997999999993"/>
    <n v="68.919998000000007"/>
    <x v="4191"/>
    <n v="64.699821"/>
    <n v="17977800"/>
  </r>
  <r>
    <x v="7856"/>
    <n v="68.360000999999997"/>
    <n v="68.730002999999996"/>
    <n v="68.120002999999997"/>
    <x v="4183"/>
    <n v="63.906368000000001"/>
    <n v="28789400"/>
  </r>
  <r>
    <x v="7857"/>
    <n v="68.610000999999997"/>
    <n v="68.610000999999997"/>
    <n v="68.040001000000004"/>
    <x v="4192"/>
    <n v="63.831699"/>
    <n v="18714100"/>
  </r>
  <r>
    <x v="7858"/>
    <n v="68.139999000000003"/>
    <n v="68.480002999999996"/>
    <n v="67.569999999999993"/>
    <x v="4193"/>
    <n v="63.878368000000002"/>
    <n v="31530300"/>
  </r>
  <r>
    <x v="7859"/>
    <n v="68.230002999999996"/>
    <n v="69.440002000000007"/>
    <n v="68.160004000000001"/>
    <x v="4184"/>
    <n v="65.164574000000002"/>
    <n v="34956000"/>
  </r>
  <r>
    <x v="7860"/>
    <n v="68.889999000000003"/>
    <n v="69.099997999999999"/>
    <n v="67.430000000000007"/>
    <x v="4194"/>
    <n v="63.352631000000002"/>
    <n v="30548800"/>
  </r>
  <r>
    <x v="7861"/>
    <n v="67.400002000000001"/>
    <n v="68.129997000000003"/>
    <n v="67.139999000000003"/>
    <x v="4195"/>
    <n v="63.568553999999999"/>
    <n v="25201300"/>
  </r>
  <r>
    <x v="7862"/>
    <n v="67.5"/>
    <n v="68.099997999999999"/>
    <n v="67.430000000000007"/>
    <x v="4196"/>
    <n v="63.549767000000003"/>
    <n v="26961100"/>
  </r>
  <r>
    <x v="7863"/>
    <n v="67.889999000000003"/>
    <n v="68.5"/>
    <n v="67.5"/>
    <x v="4197"/>
    <n v="64.263283000000001"/>
    <n v="16237600"/>
  </r>
  <r>
    <x v="7864"/>
    <n v="68.720000999999996"/>
    <n v="68.75"/>
    <n v="68.379997000000003"/>
    <x v="4198"/>
    <n v="64.479218000000003"/>
    <n v="15425800"/>
  </r>
  <r>
    <x v="7865"/>
    <n v="68.870002999999997"/>
    <n v="68.879997000000003"/>
    <n v="68.449996999999996"/>
    <x v="4199"/>
    <n v="64.563713000000007"/>
    <n v="14593900"/>
  </r>
  <r>
    <x v="7866"/>
    <n v="68.970000999999996"/>
    <n v="69.879997000000003"/>
    <n v="68.910004000000001"/>
    <x v="4200"/>
    <n v="65.361739999999998"/>
    <n v="21854100"/>
  </r>
  <r>
    <x v="7867"/>
    <n v="69.800003000000004"/>
    <n v="70.220000999999996"/>
    <n v="69.519997000000004"/>
    <x v="4201"/>
    <n v="65.680923000000007"/>
    <n v="19827900"/>
  </r>
  <r>
    <x v="7868"/>
    <n v="69.790001000000004"/>
    <n v="70.410004000000001"/>
    <n v="69.769997000000004"/>
    <x v="4202"/>
    <n v="66.103408999999999"/>
    <n v="17072800"/>
  </r>
  <r>
    <x v="7869"/>
    <n v="70.529999000000004"/>
    <n v="70.739998"/>
    <n v="69.809997999999993"/>
    <x v="4203"/>
    <n v="65.568252999999999"/>
    <n v="30436400"/>
  </r>
  <r>
    <x v="7870"/>
    <n v="70.239998"/>
    <n v="70.610000999999997"/>
    <n v="69.449996999999996"/>
    <x v="4204"/>
    <n v="65.812354999999997"/>
    <n v="21603600"/>
  </r>
  <r>
    <x v="7871"/>
    <n v="70.440002000000007"/>
    <n v="71.860000999999997"/>
    <n v="70.239998"/>
    <x v="4205"/>
    <n v="67.370850000000004"/>
    <n v="34770300"/>
  </r>
  <r>
    <x v="7872"/>
    <n v="71.970000999999996"/>
    <n v="72.889999000000003"/>
    <n v="71.809997999999993"/>
    <x v="4206"/>
    <n v="67.859015999999997"/>
    <n v="33316800"/>
  </r>
  <r>
    <x v="7873"/>
    <n v="72.300003000000004"/>
    <n v="72.620002999999997"/>
    <n v="72.269997000000004"/>
    <x v="4207"/>
    <n v="68.084350999999998"/>
    <n v="31511100"/>
  </r>
  <r>
    <x v="7874"/>
    <n v="72.639999000000003"/>
    <n v="72.769997000000004"/>
    <n v="71.949996999999996"/>
    <x v="4208"/>
    <n v="67.962303000000006"/>
    <n v="22301800"/>
  </r>
  <r>
    <x v="7875"/>
    <n v="72.510002"/>
    <n v="72.519997000000004"/>
    <n v="71.5"/>
    <x v="4209"/>
    <n v="67.549216999999999"/>
    <n v="24588300"/>
  </r>
  <r>
    <x v="7876"/>
    <n v="72.040001000000004"/>
    <n v="72.080001999999993"/>
    <n v="68.589995999999999"/>
    <x v="4210"/>
    <n v="66.018912999999998"/>
    <n v="49187400"/>
  </r>
  <r>
    <x v="7877"/>
    <n v="69.25"/>
    <n v="69.940002000000007"/>
    <n v="68.129997000000003"/>
    <x v="4211"/>
    <n v="65.511932000000002"/>
    <n v="47761700"/>
  </r>
  <r>
    <x v="7878"/>
    <n v="70.019997000000004"/>
    <n v="70.819999999999993"/>
    <n v="69.959998999999996"/>
    <x v="4212"/>
    <n v="66.328720000000004"/>
    <n v="25258600"/>
  </r>
  <r>
    <x v="7879"/>
    <n v="70.910004000000001"/>
    <n v="71.099997999999999"/>
    <n v="69.430000000000007"/>
    <x v="4213"/>
    <n v="65.971969999999999"/>
    <n v="25510700"/>
  </r>
  <r>
    <x v="7880"/>
    <n v="69.269997000000004"/>
    <n v="70.209998999999996"/>
    <n v="68.800003000000004"/>
    <x v="4214"/>
    <n v="65.624595999999997"/>
    <n v="26068700"/>
  </r>
  <r>
    <x v="7881"/>
    <n v="69.730002999999996"/>
    <n v="70.029999000000004"/>
    <n v="69.220000999999996"/>
    <x v="4215"/>
    <n v="65.718468000000001"/>
    <n v="48345100"/>
  </r>
  <r>
    <x v="7882"/>
    <n v="70.5"/>
    <n v="70.940002000000007"/>
    <n v="70.349997999999999"/>
    <x v="4216"/>
    <n v="66.535278000000005"/>
    <n v="23798300"/>
  </r>
  <r>
    <x v="7883"/>
    <n v="70.819999999999993"/>
    <n v="70.870002999999997"/>
    <n v="69.870002999999997"/>
    <x v="4217"/>
    <n v="65.633994999999999"/>
    <n v="21512200"/>
  </r>
  <r>
    <x v="7884"/>
    <n v="70.209998999999996"/>
    <n v="70.620002999999997"/>
    <n v="69.940002000000007"/>
    <x v="4213"/>
    <n v="65.971969999999999"/>
    <n v="19891100"/>
  </r>
  <r>
    <x v="7885"/>
    <n v="70.540001000000004"/>
    <n v="70.589995999999999"/>
    <n v="69.709998999999996"/>
    <x v="4218"/>
    <n v="65.962569999999999"/>
    <n v="22965700"/>
  </r>
  <r>
    <x v="7886"/>
    <n v="70.089995999999999"/>
    <n v="71.25"/>
    <n v="69.919998000000007"/>
    <x v="4219"/>
    <n v="66.854468999999995"/>
    <n v="27617300"/>
  </r>
  <r>
    <x v="7887"/>
    <n v="71.400002000000001"/>
    <n v="71.709998999999996"/>
    <n v="70.440002000000007"/>
    <x v="4220"/>
    <n v="66.216057000000006"/>
    <n v="19607000"/>
  </r>
  <r>
    <x v="7888"/>
    <n v="70.110000999999997"/>
    <n v="70.180000000000007"/>
    <n v="69.180000000000007"/>
    <x v="4221"/>
    <n v="64.976806999999994"/>
    <n v="25215100"/>
  </r>
  <r>
    <x v="7889"/>
    <n v="69.209998999999996"/>
    <n v="69.839995999999999"/>
    <n v="68.790001000000004"/>
    <x v="4222"/>
    <n v="65.530724000000006"/>
    <n v="25806200"/>
  </r>
  <r>
    <x v="7890"/>
    <n v="69.379997000000003"/>
    <n v="69.489998"/>
    <n v="68.089995999999999"/>
    <x v="4223"/>
    <n v="64.300835000000006"/>
    <n v="28918700"/>
  </r>
  <r>
    <x v="7891"/>
    <n v="68.779999000000004"/>
    <n v="69.379997000000003"/>
    <n v="68.739998"/>
    <x v="4224"/>
    <n v="64.713943"/>
    <n v="24161100"/>
  </r>
  <r>
    <x v="7892"/>
    <n v="69.330001999999993"/>
    <n v="69.599997999999999"/>
    <n v="68.019997000000004"/>
    <x v="4225"/>
    <n v="64.000397000000007"/>
    <n v="16165500"/>
  </r>
  <r>
    <x v="7893"/>
    <n v="68.260002"/>
    <n v="69.440002000000007"/>
    <n v="68.220000999999996"/>
    <x v="4186"/>
    <n v="64.854736000000003"/>
    <n v="21176300"/>
  </r>
  <r>
    <x v="7894"/>
    <n v="68.269997000000004"/>
    <n v="68.779999000000004"/>
    <n v="68.120002999999997"/>
    <x v="4226"/>
    <n v="64.375953999999993"/>
    <n v="21117600"/>
  </r>
  <r>
    <x v="7895"/>
    <n v="68.699996999999996"/>
    <n v="69.839995999999999"/>
    <n v="68.699996999999996"/>
    <x v="4227"/>
    <n v="65.211510000000004"/>
    <n v="16878300"/>
  </r>
  <r>
    <x v="7896"/>
    <n v="69.459998999999996"/>
    <n v="70.25"/>
    <n v="69.199996999999996"/>
    <x v="4228"/>
    <n v="65.699714999999998"/>
    <n v="15014500"/>
  </r>
  <r>
    <x v="7897"/>
    <n v="70"/>
    <n v="70.680000000000007"/>
    <n v="69.75"/>
    <x v="4229"/>
    <n v="65.709106000000006"/>
    <n v="17460000"/>
  </r>
  <r>
    <x v="7898"/>
    <n v="70.690002000000007"/>
    <n v="71.279999000000004"/>
    <n v="70.550003000000004"/>
    <x v="4230"/>
    <n v="66.798141000000001"/>
    <n v="17750900"/>
  </r>
  <r>
    <x v="7899"/>
    <n v="71.5"/>
    <n v="72.040001000000004"/>
    <n v="71.309997999999993"/>
    <x v="4231"/>
    <n v="67.380211000000003"/>
    <n v="20269800"/>
  </r>
  <r>
    <x v="7900"/>
    <n v="72.239998"/>
    <n v="73.269997000000004"/>
    <n v="71.959998999999996"/>
    <x v="4232"/>
    <n v="68.328452999999996"/>
    <n v="25868100"/>
  </r>
  <r>
    <x v="7901"/>
    <n v="72.800003000000004"/>
    <n v="73.449996999999996"/>
    <n v="72.720000999999996"/>
    <x v="4233"/>
    <n v="68.863585999999998"/>
    <n v="21803900"/>
  </r>
  <r>
    <x v="7902"/>
    <n v="73.089995999999999"/>
    <n v="73.389999000000003"/>
    <n v="72.660004000000001"/>
    <x v="4234"/>
    <n v="68.816642999999999"/>
    <n v="26435300"/>
  </r>
  <r>
    <x v="7903"/>
    <n v="73.5"/>
    <n v="74.040001000000004"/>
    <n v="73.449996999999996"/>
    <x v="4235"/>
    <n v="69.342360999999997"/>
    <n v="22416200"/>
  </r>
  <r>
    <x v="7904"/>
    <n v="74.180000000000007"/>
    <n v="74.300003000000004"/>
    <n v="73.279999000000004"/>
    <x v="4236"/>
    <n v="69.680374"/>
    <n v="42361000"/>
  </r>
  <r>
    <x v="7905"/>
    <n v="73.449996999999996"/>
    <n v="74.290001000000004"/>
    <n v="73.169998000000007"/>
    <x v="4237"/>
    <n v="69.276679999999999"/>
    <n v="46717100"/>
  </r>
  <r>
    <x v="7906"/>
    <n v="73.529999000000004"/>
    <n v="73.75"/>
    <n v="73.129997000000003"/>
    <x v="4238"/>
    <n v="69.098297000000002"/>
    <n v="21394800"/>
  </r>
  <r>
    <x v="7907"/>
    <n v="73.800003000000004"/>
    <n v="74.309997999999993"/>
    <n v="73.5"/>
    <x v="4239"/>
    <n v="69.652214000000001"/>
    <n v="22018700"/>
  </r>
  <r>
    <x v="7908"/>
    <n v="74.339995999999999"/>
    <n v="74.379997000000003"/>
    <n v="73.809997999999993"/>
    <x v="4240"/>
    <n v="69.520767000000006"/>
    <n v="16252200"/>
  </r>
  <r>
    <x v="7909"/>
    <n v="73.760002"/>
    <n v="74.419998000000007"/>
    <n v="72.319999999999993"/>
    <x v="4241"/>
    <n v="68.685181"/>
    <n v="36844200"/>
  </r>
  <r>
    <x v="7910"/>
    <n v="72.669998000000007"/>
    <n v="73.309997999999993"/>
    <n v="72.540001000000004"/>
    <x v="4242"/>
    <n v="68.572533000000007"/>
    <n v="18306700"/>
  </r>
  <r>
    <x v="7911"/>
    <n v="73.300003000000004"/>
    <n v="73.440002000000007"/>
    <n v="72.410004000000001"/>
    <x v="4243"/>
    <n v="68.253333999999995"/>
    <n v="23600100"/>
  </r>
  <r>
    <x v="7912"/>
    <n v="73.099997999999999"/>
    <n v="73.419998000000007"/>
    <n v="72.489998"/>
    <x v="4244"/>
    <n v="68.140677999999994"/>
    <n v="22132300"/>
  </r>
  <r>
    <x v="7913"/>
    <n v="72.550003000000004"/>
    <n v="72.559997999999993"/>
    <n v="71.440002000000007"/>
    <x v="4245"/>
    <n v="67.840255999999997"/>
    <n v="26499200"/>
  </r>
  <r>
    <x v="7914"/>
    <n v="72.190002000000007"/>
    <n v="72.440002000000007"/>
    <n v="71.849997999999999"/>
    <x v="4246"/>
    <n v="67.736976999999996"/>
    <n v="18214400"/>
  </r>
  <r>
    <x v="7915"/>
    <n v="72.400002000000001"/>
    <n v="73.040001000000004"/>
    <n v="72.239998"/>
    <x v="4247"/>
    <n v="68.234549999999999"/>
    <n v="22579000"/>
  </r>
  <r>
    <x v="7916"/>
    <n v="72.800003000000004"/>
    <n v="72.900002000000001"/>
    <n v="72.260002"/>
    <x v="4248"/>
    <n v="67.971687000000003"/>
    <n v="18705700"/>
  </r>
  <r>
    <x v="7917"/>
    <n v="72.089995999999999"/>
    <n v="73.129997000000003"/>
    <n v="71.75"/>
    <x v="4249"/>
    <n v="68.337836999999993"/>
    <n v="22044600"/>
  </r>
  <r>
    <x v="7918"/>
    <n v="72.25"/>
    <n v="72.510002"/>
    <n v="72.050003000000004"/>
    <x v="4250"/>
    <n v="68.037407000000002"/>
    <n v="22213400"/>
  </r>
  <r>
    <x v="7919"/>
    <n v="71.900002000000001"/>
    <n v="72.190002000000007"/>
    <n v="71.349997999999999"/>
    <x v="4251"/>
    <n v="67.042220999999998"/>
    <n v="24734500"/>
  </r>
  <r>
    <x v="7920"/>
    <n v="71.610000999999997"/>
    <n v="72.699996999999996"/>
    <n v="71.279999000000004"/>
    <x v="4252"/>
    <n v="68.065567000000001"/>
    <n v="21443700"/>
  </r>
  <r>
    <x v="7921"/>
    <n v="73.059997999999993"/>
    <n v="73.720000999999996"/>
    <n v="72.949996999999996"/>
    <x v="4253"/>
    <n v="69.088881999999998"/>
    <n v="20096600"/>
  </r>
  <r>
    <x v="7922"/>
    <n v="73.589995999999999"/>
    <n v="73.589995999999999"/>
    <n v="73.040001000000004"/>
    <x v="4254"/>
    <n v="69.107780000000005"/>
    <n v="19181400"/>
  </r>
  <r>
    <x v="7923"/>
    <n v="73.339995999999999"/>
    <n v="74.099997999999999"/>
    <n v="73.169998000000007"/>
    <x v="4255"/>
    <n v="69.513633999999996"/>
    <n v="18150400"/>
  </r>
  <r>
    <x v="7924"/>
    <n v="73.580001999999993"/>
    <n v="73.870002999999997"/>
    <n v="72.400002000000001"/>
    <x v="4248"/>
    <n v="68.333832000000001"/>
    <n v="22977500"/>
  </r>
  <r>
    <x v="7925"/>
    <n v="72.269997000000004"/>
    <n v="72.839995999999999"/>
    <n v="71.930000000000007"/>
    <x v="4256"/>
    <n v="68.418769999999995"/>
    <n v="18761500"/>
  </r>
  <r>
    <x v="7926"/>
    <n v="72.470000999999996"/>
    <n v="72.480002999999996"/>
    <n v="71.699996999999996"/>
    <x v="4246"/>
    <n v="68.09787"/>
    <n v="17734800"/>
  </r>
  <r>
    <x v="7927"/>
    <n v="72.349997999999999"/>
    <n v="73.239998"/>
    <n v="72.349997999999999"/>
    <x v="4241"/>
    <n v="69.051124999999999"/>
    <n v="14343700"/>
  </r>
  <r>
    <x v="7928"/>
    <n v="72.959998999999996"/>
    <n v="73.150002000000001"/>
    <n v="72.529999000000004"/>
    <x v="4257"/>
    <n v="68.635863999999998"/>
    <n v="13766500"/>
  </r>
  <r>
    <x v="7929"/>
    <n v="72.739998"/>
    <n v="72.860000999999997"/>
    <n v="72.069999999999993"/>
    <x v="4258"/>
    <n v="68.607521000000006"/>
    <n v="17098300"/>
  </r>
  <r>
    <x v="7930"/>
    <n v="72.860000999999997"/>
    <n v="73.349997999999999"/>
    <n v="72.480002999999996"/>
    <x v="4259"/>
    <n v="68.730239999999995"/>
    <n v="12794300"/>
  </r>
  <r>
    <x v="7931"/>
    <n v="73.059997999999993"/>
    <n v="73.089995999999999"/>
    <n v="72.550003000000004"/>
    <x v="4260"/>
    <n v="68.739677"/>
    <n v="14569700"/>
  </r>
  <r>
    <x v="7932"/>
    <n v="72.25"/>
    <n v="73.160004000000001"/>
    <n v="72.050003000000004"/>
    <x v="4261"/>
    <n v="68.947333999999998"/>
    <n v="11478400"/>
  </r>
  <r>
    <x v="7933"/>
    <n v="73.010002"/>
    <n v="74.209998999999996"/>
    <n v="72.830001999999993"/>
    <x v="4262"/>
    <n v="69.853393999999994"/>
    <n v="16897800"/>
  </r>
  <r>
    <x v="7934"/>
    <n v="74.029999000000004"/>
    <n v="74.959998999999996"/>
    <n v="73.800003000000004"/>
    <x v="4263"/>
    <n v="70.570717000000002"/>
    <n v="27652800"/>
  </r>
  <r>
    <x v="7935"/>
    <n v="74.709998999999996"/>
    <n v="74.739998"/>
    <n v="73.639999000000003"/>
    <x v="4264"/>
    <n v="69.787338000000005"/>
    <n v="21736200"/>
  </r>
  <r>
    <x v="7936"/>
    <n v="73.339995999999999"/>
    <n v="73.889999000000003"/>
    <n v="72.980002999999996"/>
    <x v="4265"/>
    <n v="69.475876"/>
    <n v="21556000"/>
  </r>
  <r>
    <x v="7937"/>
    <n v="73.739998"/>
    <n v="74.040001000000004"/>
    <n v="73.349997999999999"/>
    <x v="4266"/>
    <n v="69.277657000000005"/>
    <n v="16535800"/>
  </r>
  <r>
    <x v="7938"/>
    <n v="73.680000000000007"/>
    <n v="74.599997999999999"/>
    <n v="73.599997999999999"/>
    <x v="4267"/>
    <n v="70.164878999999999"/>
    <n v="17471200"/>
  </r>
  <r>
    <x v="7939"/>
    <n v="74.330001999999993"/>
    <n v="74.440002000000007"/>
    <n v="73.839995999999999"/>
    <x v="4268"/>
    <n v="69.825089000000006"/>
    <n v="14703800"/>
  </r>
  <r>
    <x v="7940"/>
    <n v="74.309997999999993"/>
    <n v="74.940002000000007"/>
    <n v="74.309997999999993"/>
    <x v="4269"/>
    <n v="70.561278999999999"/>
    <n v="17910400"/>
  </r>
  <r>
    <x v="7941"/>
    <n v="74.760002"/>
    <n v="75.239998"/>
    <n v="74.370002999999997"/>
    <x v="4270"/>
    <n v="70.485778999999994"/>
    <n v="14394900"/>
  </r>
  <r>
    <x v="7942"/>
    <n v="74.930000000000007"/>
    <n v="75.230002999999996"/>
    <n v="74.550003000000004"/>
    <x v="4271"/>
    <n v="70.986023000000003"/>
    <n v="13380800"/>
  </r>
  <r>
    <x v="7943"/>
    <n v="75"/>
    <n v="75.489998"/>
    <n v="74.519997000000004"/>
    <x v="4263"/>
    <n v="70.570717000000002"/>
    <n v="15733900"/>
  </r>
  <r>
    <x v="7944"/>
    <n v="74.830001999999993"/>
    <n v="75.389999000000003"/>
    <n v="74.069999999999993"/>
    <x v="4272"/>
    <n v="71.080391000000006"/>
    <n v="38578400"/>
  </r>
  <r>
    <x v="7945"/>
    <n v="75.230002999999996"/>
    <n v="75.970000999999996"/>
    <n v="75.040001000000004"/>
    <x v="4273"/>
    <n v="70.938834999999997"/>
    <n v="23307000"/>
  </r>
  <r>
    <x v="7946"/>
    <n v="75.209998999999996"/>
    <n v="75.709998999999996"/>
    <n v="75.010002"/>
    <x v="4274"/>
    <n v="71.203093999999993"/>
    <n v="16093300"/>
  </r>
  <r>
    <x v="7947"/>
    <n v="75.349997999999999"/>
    <n v="75.550003000000004"/>
    <n v="74.309997999999993"/>
    <x v="4275"/>
    <n v="70.731185999999994"/>
    <n v="21587900"/>
  </r>
  <r>
    <x v="7948"/>
    <n v="75.110000999999997"/>
    <n v="75.239998"/>
    <n v="74.110000999999997"/>
    <x v="4276"/>
    <n v="70.042175"/>
    <n v="19186100"/>
  </r>
  <r>
    <x v="7949"/>
    <n v="73.989998"/>
    <n v="74.510002"/>
    <n v="73.849997999999999"/>
    <x v="4277"/>
    <n v="70.230941999999999"/>
    <n v="14111400"/>
  </r>
  <r>
    <x v="7950"/>
    <n v="74.089995999999999"/>
    <n v="74.25"/>
    <n v="72.919998000000007"/>
    <x v="4278"/>
    <n v="69.145522999999997"/>
    <n v="24149200"/>
  </r>
  <r>
    <x v="7951"/>
    <n v="73.669998000000007"/>
    <n v="73.809997999999993"/>
    <n v="72.989998"/>
    <x v="4278"/>
    <n v="69.145522999999997"/>
    <n v="18019600"/>
  </r>
  <r>
    <x v="7952"/>
    <n v="73.550003000000004"/>
    <n v="74.169998000000007"/>
    <n v="73.169998000000007"/>
    <x v="4279"/>
    <n v="69.702376999999998"/>
    <n v="19565100"/>
  </r>
  <r>
    <x v="7953"/>
    <n v="73.540001000000004"/>
    <n v="73.970000999999996"/>
    <n v="73.309997999999993"/>
    <x v="4280"/>
    <n v="69.721267999999995"/>
    <n v="10883800"/>
  </r>
  <r>
    <x v="7954"/>
    <n v="73.940002000000007"/>
    <n v="74.540001000000004"/>
    <n v="73.879997000000003"/>
    <x v="4281"/>
    <n v="70.306442000000004"/>
    <n v="17079100"/>
  </r>
  <r>
    <x v="7955"/>
    <n v="74.709998999999996"/>
    <n v="75.010002"/>
    <n v="74.300003000000004"/>
    <x v="4282"/>
    <n v="70.419715999999994"/>
    <n v="15304800"/>
  </r>
  <r>
    <x v="7956"/>
    <n v="74.669998000000007"/>
    <n v="74.879997000000003"/>
    <n v="74.190002000000007"/>
    <x v="4283"/>
    <n v="70.089363000000006"/>
    <n v="12190400"/>
  </r>
  <r>
    <x v="7957"/>
    <n v="74.089995999999999"/>
    <n v="74.720000999999996"/>
    <n v="73.709998999999996"/>
    <x v="4284"/>
    <n v="70.495223999999993"/>
    <n v="13317700"/>
  </r>
  <r>
    <x v="7958"/>
    <n v="75.220000999999996"/>
    <n v="76.120002999999997"/>
    <n v="74.959998999999996"/>
    <x v="4285"/>
    <n v="71.703345999999996"/>
    <n v="21195300"/>
  </r>
  <r>
    <x v="7959"/>
    <n v="75.669998000000007"/>
    <n v="76.029999000000004"/>
    <n v="75.540001000000004"/>
    <x v="4286"/>
    <n v="71.731658999999993"/>
    <n v="13959800"/>
  </r>
  <r>
    <x v="7960"/>
    <n v="75.970000999999996"/>
    <n v="76.550003000000004"/>
    <n v="75.860000999999997"/>
    <x v="4287"/>
    <n v="72.005356000000006"/>
    <n v="11386500"/>
  </r>
  <r>
    <x v="7961"/>
    <n v="76.330001999999993"/>
    <n v="76.629997000000003"/>
    <n v="76.139999000000003"/>
    <x v="4287"/>
    <n v="72.005356000000006"/>
    <n v="13944500"/>
  </r>
  <r>
    <x v="7962"/>
    <n v="76.360000999999997"/>
    <n v="76.459998999999996"/>
    <n v="75.949996999999996"/>
    <x v="4288"/>
    <n v="72.128051999999997"/>
    <n v="15388900"/>
  </r>
  <r>
    <x v="7963"/>
    <n v="76.489998"/>
    <n v="77.290001000000004"/>
    <n v="76.370002999999997"/>
    <x v="4289"/>
    <n v="72.788741999999999"/>
    <n v="16876500"/>
  </r>
  <r>
    <x v="7964"/>
    <n v="77.589995999999999"/>
    <n v="77.870002999999997"/>
    <n v="77.290001000000004"/>
    <x v="4290"/>
    <n v="73.137969999999996"/>
    <n v="15335700"/>
  </r>
  <r>
    <x v="7965"/>
    <n v="77.419998000000007"/>
    <n v="77.809997999999993"/>
    <n v="77.349997999999999"/>
    <x v="4291"/>
    <n v="73.288985999999994"/>
    <n v="12380100"/>
  </r>
  <r>
    <x v="7966"/>
    <n v="77.470000999999996"/>
    <n v="77.620002999999997"/>
    <n v="77.25"/>
    <x v="4292"/>
    <n v="73.232346000000007"/>
    <n v="16824000"/>
  </r>
  <r>
    <x v="7967"/>
    <n v="77.669998000000007"/>
    <n v="77.849997999999999"/>
    <n v="77.370002999999997"/>
    <x v="4293"/>
    <n v="73.251221000000001"/>
    <n v="13300700"/>
  </r>
  <r>
    <x v="7968"/>
    <n v="77.569999999999993"/>
    <n v="77.930000000000007"/>
    <n v="77.349997999999999"/>
    <x v="4294"/>
    <n v="73.534369999999996"/>
    <n v="15092800"/>
  </r>
  <r>
    <x v="7969"/>
    <n v="78.319999999999993"/>
    <n v="78.970000999999996"/>
    <n v="78.220000999999996"/>
    <x v="4295"/>
    <n v="74.38382"/>
    <n v="22866400"/>
  </r>
  <r>
    <x v="7970"/>
    <n v="78.989998"/>
    <n v="79.339995999999999"/>
    <n v="78.760002"/>
    <x v="4296"/>
    <n v="74.402694999999994"/>
    <n v="20627200"/>
  </r>
  <r>
    <x v="7971"/>
    <n v="78.900002000000001"/>
    <n v="79.199996999999996"/>
    <n v="78.459998999999996"/>
    <x v="4297"/>
    <n v="74.431022999999996"/>
    <n v="17517200"/>
  </r>
  <r>
    <x v="7972"/>
    <n v="78.580001999999993"/>
    <n v="79.099997999999999"/>
    <n v="78.010002"/>
    <x v="4298"/>
    <n v="74.213936000000004"/>
    <n v="20410800"/>
  </r>
  <r>
    <x v="7973"/>
    <n v="79.199996999999996"/>
    <n v="79.419998000000007"/>
    <n v="78.75"/>
    <x v="4299"/>
    <n v="74.336639000000005"/>
    <n v="32120700"/>
  </r>
  <r>
    <x v="7974"/>
    <n v="84.370002999999997"/>
    <n v="86.199996999999996"/>
    <n v="83.610000999999997"/>
    <x v="4300"/>
    <n v="79.103035000000006"/>
    <n v="71066700"/>
  </r>
  <r>
    <x v="7975"/>
    <n v="83.699996999999996"/>
    <n v="84.330001999999993"/>
    <n v="83.110000999999997"/>
    <x v="4301"/>
    <n v="79.178512999999995"/>
    <n v="31756700"/>
  </r>
  <r>
    <x v="7976"/>
    <n v="84.360000999999997"/>
    <n v="84.360000999999997"/>
    <n v="83.110000999999997"/>
    <x v="4302"/>
    <n v="78.508399999999995"/>
    <n v="27086600"/>
  </r>
  <r>
    <x v="7977"/>
    <n v="83.68"/>
    <n v="83.760002"/>
    <n v="82.879997000000003"/>
    <x v="4302"/>
    <n v="78.508399999999995"/>
    <n v="22307400"/>
  </r>
  <r>
    <x v="7978"/>
    <n v="83.349997999999999"/>
    <n v="84.459998999999996"/>
    <n v="83.120002999999997"/>
    <x v="4303"/>
    <n v="79.329543999999999"/>
    <n v="23992900"/>
  </r>
  <r>
    <x v="7979"/>
    <n v="84.080001999999993"/>
    <n v="84.540001000000004"/>
    <n v="83.400002000000001"/>
    <x v="4304"/>
    <n v="79.414482000000007"/>
    <n v="17633500"/>
  </r>
  <r>
    <x v="7980"/>
    <n v="84.199996999999996"/>
    <n v="84.699996999999996"/>
    <n v="84.080001999999993"/>
    <x v="4305"/>
    <n v="79.725937000000002"/>
    <n v="19860900"/>
  </r>
  <r>
    <x v="7981"/>
    <n v="84.769997000000004"/>
    <n v="84.900002000000001"/>
    <n v="83.93"/>
    <x v="4306"/>
    <n v="79.537177999999997"/>
    <n v="17939700"/>
  </r>
  <r>
    <x v="7982"/>
    <n v="84.139999000000003"/>
    <n v="84.610000999999997"/>
    <n v="83.830001999999993"/>
    <x v="4307"/>
    <n v="79.810890000000001"/>
    <n v="18034200"/>
  </r>
  <r>
    <x v="7983"/>
    <n v="84.110000999999997"/>
    <n v="84.269997000000004"/>
    <n v="82.900002000000001"/>
    <x v="4308"/>
    <n v="79.367271000000002"/>
    <n v="21178400"/>
  </r>
  <r>
    <x v="7984"/>
    <n v="83.790001000000004"/>
    <n v="84.099997999999999"/>
    <n v="83.230002999999996"/>
    <x v="4309"/>
    <n v="79.159644999999998"/>
    <n v="19397800"/>
  </r>
  <r>
    <x v="7985"/>
    <n v="83.660004000000001"/>
    <n v="83.940002000000007"/>
    <n v="83.459998999999996"/>
    <x v="4310"/>
    <n v="79.216269999999994"/>
    <n v="14196900"/>
  </r>
  <r>
    <x v="7986"/>
    <n v="83.5"/>
    <n v="84.099997999999999"/>
    <n v="82.980002999999996"/>
    <x v="4303"/>
    <n v="79.329543999999999"/>
    <n v="18801300"/>
  </r>
  <r>
    <x v="7987"/>
    <n v="83.470000999999996"/>
    <n v="83.690002000000007"/>
    <n v="82.690002000000007"/>
    <x v="4311"/>
    <n v="78.712952000000001"/>
    <n v="19383100"/>
  </r>
  <r>
    <x v="7988"/>
    <n v="83.099997999999999"/>
    <n v="83.419998000000007"/>
    <n v="82.940002000000007"/>
    <x v="4312"/>
    <n v="78.921645999999996"/>
    <n v="20962800"/>
  </r>
  <r>
    <x v="7989"/>
    <n v="83.120002999999997"/>
    <n v="83.120002999999997"/>
    <n v="82.239998"/>
    <x v="4313"/>
    <n v="78.162796"/>
    <n v="22079000"/>
  </r>
  <r>
    <x v="7990"/>
    <n v="82.400002000000001"/>
    <n v="82.589995999999999"/>
    <n v="82.25"/>
    <x v="4314"/>
    <n v="78.286102"/>
    <n v="16315000"/>
  </r>
  <r>
    <x v="7991"/>
    <n v="82.739998"/>
    <n v="83.839995999999999"/>
    <n v="82.739998"/>
    <x v="4315"/>
    <n v="79.414917000000003"/>
    <n v="21237500"/>
  </r>
  <r>
    <x v="7992"/>
    <n v="83.830001999999993"/>
    <n v="83.900002000000001"/>
    <n v="83.040001000000004"/>
    <x v="4316"/>
    <n v="78.836281"/>
    <n v="20553100"/>
  </r>
  <r>
    <x v="7993"/>
    <n v="83.010002"/>
    <n v="83.43"/>
    <n v="82.779999000000004"/>
    <x v="4317"/>
    <n v="78.978568999999993"/>
    <n v="7425600"/>
  </r>
  <r>
    <x v="7994"/>
    <n v="83.309997999999993"/>
    <n v="83.980002999999996"/>
    <n v="83.300003000000004"/>
    <x v="4309"/>
    <n v="79.557204999999996"/>
    <n v="18265200"/>
  </r>
  <r>
    <x v="7995"/>
    <n v="84.07"/>
    <n v="85.059997999999993"/>
    <n v="84.019997000000004"/>
    <x v="4318"/>
    <n v="80.515243999999996"/>
    <n v="21926000"/>
  </r>
  <r>
    <x v="7996"/>
    <n v="84.709998999999996"/>
    <n v="84.919998000000007"/>
    <n v="83.18"/>
    <x v="4319"/>
    <n v="79.054443000000006"/>
    <n v="27381100"/>
  </r>
  <r>
    <x v="7997"/>
    <n v="83.510002"/>
    <n v="84.519997000000004"/>
    <n v="83.339995999999999"/>
    <x v="4320"/>
    <n v="79.841758999999996"/>
    <n v="33054600"/>
  </r>
  <r>
    <x v="7998"/>
    <n v="83.599997999999999"/>
    <n v="84.809997999999993"/>
    <n v="83.220000999999996"/>
    <x v="4321"/>
    <n v="79.927138999999997"/>
    <n v="29532100"/>
  </r>
  <r>
    <x v="7999"/>
    <n v="84.419998000000007"/>
    <n v="84.43"/>
    <n v="80.699996999999996"/>
    <x v="4322"/>
    <n v="76.910667000000004"/>
    <n v="39094900"/>
  </r>
  <r>
    <x v="8000"/>
    <n v="81.339995999999999"/>
    <n v="82.68"/>
    <n v="80.980002999999996"/>
    <x v="4323"/>
    <n v="77.394431999999995"/>
    <n v="26152300"/>
  </r>
  <r>
    <x v="8001"/>
    <n v="81.550003000000004"/>
    <n v="83.139999000000003"/>
    <n v="81.430000000000007"/>
    <x v="4324"/>
    <n v="78.523253999999994"/>
    <n v="26162100"/>
  </r>
  <r>
    <x v="8002"/>
    <n v="82.540001000000004"/>
    <n v="82.800003000000004"/>
    <n v="82"/>
    <x v="4325"/>
    <n v="78.248146000000006"/>
    <n v="23184500"/>
  </r>
  <r>
    <x v="8003"/>
    <n v="83.629997000000003"/>
    <n v="84.580001999999993"/>
    <n v="83.330001999999993"/>
    <x v="4326"/>
    <n v="79.832290999999998"/>
    <n v="24489100"/>
  </r>
  <r>
    <x v="8004"/>
    <n v="84.290001000000004"/>
    <n v="85.370002999999997"/>
    <n v="84.120002999999997"/>
    <x v="4327"/>
    <n v="80.847260000000006"/>
    <n v="22857900"/>
  </r>
  <r>
    <x v="8005"/>
    <n v="85.309997999999993"/>
    <n v="86.050003000000004"/>
    <n v="85.080001999999993"/>
    <x v="4328"/>
    <n v="81.179259999999999"/>
    <n v="23924100"/>
  </r>
  <r>
    <x v="8006"/>
    <n v="85.739998"/>
    <n v="86"/>
    <n v="85.169998000000007"/>
    <x v="4329"/>
    <n v="80.961105000000003"/>
    <n v="22062700"/>
  </r>
  <r>
    <x v="8007"/>
    <n v="85.43"/>
    <n v="85.870002999999997"/>
    <n v="84.529999000000004"/>
    <x v="4330"/>
    <n v="80.335014000000001"/>
    <n v="19306000"/>
  </r>
  <r>
    <x v="8008"/>
    <n v="85.260002"/>
    <n v="87.089995999999999"/>
    <n v="84.879997000000003"/>
    <x v="4331"/>
    <n v="82.383949000000001"/>
    <n v="53936700"/>
  </r>
  <r>
    <x v="8009"/>
    <n v="87.120002999999997"/>
    <n v="87.5"/>
    <n v="86.230002999999996"/>
    <x v="4332"/>
    <n v="81.938125999999997"/>
    <n v="22283800"/>
  </r>
  <r>
    <x v="8010"/>
    <n v="86.349997999999999"/>
    <n v="86.349997999999999"/>
    <n v="85.269997000000004"/>
    <x v="4333"/>
    <n v="81.416411999999994"/>
    <n v="23524800"/>
  </r>
  <r>
    <x v="8011"/>
    <n v="86.199996999999996"/>
    <n v="86.300003000000004"/>
    <n v="84.709998999999996"/>
    <x v="4334"/>
    <n v="81.122337000000002"/>
    <n v="23674900"/>
  </r>
  <r>
    <x v="8012"/>
    <n v="86.050003000000004"/>
    <n v="86.099997999999999"/>
    <n v="85.400002000000001"/>
    <x v="4335"/>
    <n v="81.103386"/>
    <n v="17990700"/>
  </r>
  <r>
    <x v="8013"/>
    <n v="85.400002000000001"/>
    <n v="85.629997000000003"/>
    <n v="84.919998000000007"/>
    <x v="4336"/>
    <n v="81.112862000000007"/>
    <n v="14145800"/>
  </r>
  <r>
    <x v="8014"/>
    <n v="85.309997999999993"/>
    <n v="85.529999000000004"/>
    <n v="85.029999000000004"/>
    <x v="4337"/>
    <n v="81.008521999999999"/>
    <n v="9891200"/>
  </r>
  <r>
    <x v="8015"/>
    <n v="85.650002000000001"/>
    <n v="85.980002999999996"/>
    <n v="85.220000999999996"/>
    <x v="4338"/>
    <n v="81.302574000000007"/>
    <n v="14678000"/>
  </r>
  <r>
    <x v="8016"/>
    <n v="85.900002000000001"/>
    <n v="85.93"/>
    <n v="85.550003000000004"/>
    <x v="4339"/>
    <n v="81.312065000000004"/>
    <n v="10594300"/>
  </r>
  <r>
    <x v="8017"/>
    <n v="85.629997000000003"/>
    <n v="86.050003000000004"/>
    <n v="85.5"/>
    <x v="4340"/>
    <n v="81.141311999999999"/>
    <n v="18717400"/>
  </r>
  <r>
    <x v="8018"/>
    <n v="86.129997000000003"/>
    <n v="86.309997999999993"/>
    <n v="85.5"/>
    <x v="4341"/>
    <n v="81.530227999999994"/>
    <n v="22483800"/>
  </r>
  <r>
    <x v="8019"/>
    <n v="86.059997999999993"/>
    <n v="86.510002"/>
    <n v="85.970000999999996"/>
    <x v="4342"/>
    <n v="81.909660000000002"/>
    <n v="26061400"/>
  </r>
  <r>
    <x v="8020"/>
    <n v="86.589995999999999"/>
    <n v="87.660004000000001"/>
    <n v="86.57"/>
    <x v="4343"/>
    <n v="82.630577000000002"/>
    <n v="21912000"/>
  </r>
  <r>
    <x v="8021"/>
    <n v="87.660004000000001"/>
    <n v="88.410004000000001"/>
    <n v="87.43"/>
    <x v="4344"/>
    <n v="83.655036999999993"/>
    <n v="23407100"/>
  </r>
  <r>
    <x v="8022"/>
    <n v="88.199996999999996"/>
    <n v="88.580001999999993"/>
    <n v="87.599997999999999"/>
    <x v="4345"/>
    <n v="83.740416999999994"/>
    <n v="22113000"/>
  </r>
  <r>
    <x v="8023"/>
    <n v="88.650002000000001"/>
    <n v="88.730002999999996"/>
    <n v="87.860000999999997"/>
    <x v="4346"/>
    <n v="83.683532999999997"/>
    <n v="19484300"/>
  </r>
  <r>
    <x v="8024"/>
    <n v="87.860000999999997"/>
    <n v="88.190002000000007"/>
    <n v="87.410004000000001"/>
    <x v="4347"/>
    <n v="83.304069999999996"/>
    <n v="18652200"/>
  </r>
  <r>
    <x v="8025"/>
    <n v="88.129997000000003"/>
    <n v="88.129997000000003"/>
    <n v="87.239998"/>
    <x v="4348"/>
    <n v="83.550719999999998"/>
    <n v="17808900"/>
  </r>
  <r>
    <x v="8026"/>
    <n v="88.669998000000007"/>
    <n v="89.779999000000004"/>
    <n v="88.449996999999996"/>
    <x v="4349"/>
    <n v="84.992553999999998"/>
    <n v="24271500"/>
  </r>
  <r>
    <x v="8027"/>
    <n v="90.099997999999999"/>
    <n v="90.790001000000004"/>
    <n v="88.010002"/>
    <x v="4350"/>
    <n v="83.806831000000003"/>
    <n v="36599700"/>
  </r>
  <r>
    <x v="8028"/>
    <n v="89.080001999999993"/>
    <n v="90.279999000000004"/>
    <n v="88.75"/>
    <x v="4351"/>
    <n v="85.504784000000001"/>
    <n v="25621200"/>
  </r>
  <r>
    <x v="8029"/>
    <n v="89.800003000000004"/>
    <n v="90.669998000000007"/>
    <n v="89.660004000000001"/>
    <x v="4352"/>
    <n v="85.466835000000003"/>
    <n v="24159700"/>
  </r>
  <r>
    <x v="8030"/>
    <n v="90.139999000000003"/>
    <n v="90.610000999999997"/>
    <n v="89.660004000000001"/>
    <x v="4353"/>
    <n v="85.371978999999996"/>
    <n v="36875000"/>
  </r>
  <r>
    <x v="8031"/>
    <n v="90"/>
    <n v="91.620002999999997"/>
    <n v="89.739998"/>
    <x v="4354"/>
    <n v="86.899185000000003"/>
    <n v="23601600"/>
  </r>
  <r>
    <x v="8032"/>
    <n v="91.900002000000001"/>
    <n v="92.300003000000004"/>
    <n v="91.540001000000004"/>
    <x v="4355"/>
    <n v="87.174271000000005"/>
    <n v="23412800"/>
  </r>
  <r>
    <x v="8033"/>
    <n v="92.550003000000004"/>
    <n v="93.43"/>
    <n v="91.580001999999993"/>
    <x v="4356"/>
    <n v="87.098395999999994"/>
    <n v="33277500"/>
  </r>
  <r>
    <x v="8034"/>
    <n v="92.470000999999996"/>
    <n v="93.239998"/>
    <n v="91.93"/>
    <x v="4357"/>
    <n v="87.582145999999995"/>
    <n v="26383200"/>
  </r>
  <r>
    <x v="8035"/>
    <n v="93.120002999999997"/>
    <n v="94.059997999999993"/>
    <n v="92.580001999999993"/>
    <x v="4358"/>
    <n v="89.223197999999996"/>
    <n v="29172200"/>
  </r>
  <r>
    <x v="8036"/>
    <n v="95.139999000000003"/>
    <n v="95.449996999999996"/>
    <n v="93.720000999999996"/>
    <x v="4359"/>
    <n v="89.090384999999998"/>
    <n v="31569900"/>
  </r>
  <r>
    <x v="8037"/>
    <n v="93.300003000000004"/>
    <n v="93.660004000000001"/>
    <n v="92.099997999999999"/>
    <x v="4360"/>
    <n v="87.971076999999994"/>
    <n v="38635100"/>
  </r>
  <r>
    <x v="8038"/>
    <n v="93.75"/>
    <n v="95.400002000000001"/>
    <n v="93.510002"/>
    <x v="4361"/>
    <n v="90.124358999999998"/>
    <n v="48756300"/>
  </r>
  <r>
    <x v="8039"/>
    <n v="94.790001000000004"/>
    <n v="96.07"/>
    <n v="93.580001999999993"/>
    <x v="4362"/>
    <n v="89.412909999999997"/>
    <n v="47227900"/>
  </r>
  <r>
    <x v="8040"/>
    <n v="93.639999000000003"/>
    <n v="93.970000999999996"/>
    <n v="91.5"/>
    <x v="4363"/>
    <n v="87.060432000000006"/>
    <n v="47867800"/>
  </r>
  <r>
    <x v="8041"/>
    <n v="90.559997999999993"/>
    <n v="93.239998"/>
    <n v="88"/>
    <x v="4364"/>
    <n v="83.474830999999995"/>
    <n v="51031500"/>
  </r>
  <r>
    <x v="8042"/>
    <n v="86.889999000000003"/>
    <n v="91.480002999999996"/>
    <n v="85.25"/>
    <x v="4365"/>
    <n v="86.633598000000006"/>
    <n v="67998600"/>
  </r>
  <r>
    <x v="8043"/>
    <n v="90.489998"/>
    <n v="91.769997000000004"/>
    <n v="89.199996999999996"/>
    <x v="4366"/>
    <n v="85.002028999999993"/>
    <n v="41107600"/>
  </r>
  <r>
    <x v="8044"/>
    <n v="89.709998999999996"/>
    <n v="89.879997000000003"/>
    <n v="84.760002"/>
    <x v="4367"/>
    <n v="80.638587999999999"/>
    <n v="55628700"/>
  </r>
  <r>
    <x v="8045"/>
    <n v="86.300003000000004"/>
    <n v="88.93"/>
    <n v="83.830001999999993"/>
    <x v="4368"/>
    <n v="83.645561000000001"/>
    <n v="63499100"/>
  </r>
  <r>
    <x v="8046"/>
    <n v="88.739998"/>
    <n v="89.779999000000004"/>
    <n v="87.93"/>
    <x v="4369"/>
    <n v="84.546706999999998"/>
    <n v="35720300"/>
  </r>
  <r>
    <x v="8047"/>
    <n v="88.93"/>
    <n v="90"/>
    <n v="87.800003000000004"/>
    <x v="4370"/>
    <n v="85.210708999999994"/>
    <n v="26407700"/>
  </r>
  <r>
    <x v="8048"/>
    <n v="88.510002"/>
    <n v="90.989998"/>
    <n v="88.410004000000001"/>
    <x v="4371"/>
    <n v="86.544974999999994"/>
    <n v="34960900"/>
  </r>
  <r>
    <x v="8049"/>
    <n v="91.209998999999996"/>
    <n v="92.720000999999996"/>
    <n v="90.620002999999997"/>
    <x v="4372"/>
    <n v="88.308066999999994"/>
    <n v="27823900"/>
  </r>
  <r>
    <x v="8050"/>
    <n v="92.449996999999996"/>
    <n v="93.5"/>
    <n v="91.800003000000004"/>
    <x v="4373"/>
    <n v="87.679077000000007"/>
    <n v="30596900"/>
  </r>
  <r>
    <x v="8051"/>
    <n v="91.480002999999996"/>
    <n v="93.059997999999993"/>
    <n v="91.010002"/>
    <x v="4374"/>
    <n v="88.365250000000003"/>
    <n v="30911700"/>
  </r>
  <r>
    <x v="8052"/>
    <n v="92.980002999999996"/>
    <n v="93.360000999999997"/>
    <n v="91.489998"/>
    <x v="4375"/>
    <n v="87.193016"/>
    <n v="26922500"/>
  </r>
  <r>
    <x v="8053"/>
    <n v="92.050003000000004"/>
    <n v="92.730002999999996"/>
    <n v="91.360000999999997"/>
    <x v="4376"/>
    <n v="87.421745000000001"/>
    <n v="24392800"/>
  </r>
  <r>
    <x v="8054"/>
    <n v="93.599997999999999"/>
    <n v="94.07"/>
    <n v="92.360000999999997"/>
    <x v="4358"/>
    <n v="89.642311000000007"/>
    <n v="26329200"/>
  </r>
  <r>
    <x v="8055"/>
    <n v="94.400002000000001"/>
    <n v="95.449996999999996"/>
    <n v="94.25"/>
    <x v="4377"/>
    <n v="90.938438000000005"/>
    <n v="30199800"/>
  </r>
  <r>
    <x v="8056"/>
    <n v="95.739998"/>
    <n v="95.839995999999999"/>
    <n v="94.199996999999996"/>
    <x v="4378"/>
    <n v="89.775734"/>
    <n v="25869100"/>
  </r>
  <r>
    <x v="8057"/>
    <n v="94.839995999999999"/>
    <n v="95.709998999999996"/>
    <n v="93.629997000000003"/>
    <x v="4379"/>
    <n v="89.365943999999999"/>
    <n v="31167300"/>
  </r>
  <r>
    <x v="8058"/>
    <n v="93.989998"/>
    <n v="94.57"/>
    <n v="91.839995999999999"/>
    <x v="4380"/>
    <n v="88.489142999999999"/>
    <n v="37135600"/>
  </r>
  <r>
    <x v="8059"/>
    <n v="91.580001999999993"/>
    <n v="93.150002000000001"/>
    <n v="90.860000999999997"/>
    <x v="4381"/>
    <n v="88.679755999999998"/>
    <n v="32830400"/>
  </r>
  <r>
    <x v="8060"/>
    <n v="92.339995999999999"/>
    <n v="94.269997000000004"/>
    <n v="92.260002"/>
    <x v="4382"/>
    <n v="89.242035000000001"/>
    <n v="23901600"/>
  </r>
  <r>
    <x v="8061"/>
    <n v="94.339995999999999"/>
    <n v="94.489998"/>
    <n v="92.940002000000007"/>
    <x v="4383"/>
    <n v="88.937065000000004"/>
    <n v="22175800"/>
  </r>
  <r>
    <x v="8062"/>
    <n v="93.160004000000001"/>
    <n v="93.940002000000007"/>
    <n v="92.43"/>
    <x v="4384"/>
    <n v="89.451706000000001"/>
    <n v="26716100"/>
  </r>
  <r>
    <x v="8063"/>
    <n v="94.269997000000004"/>
    <n v="95.099997999999999"/>
    <n v="93.769997000000004"/>
    <x v="4385"/>
    <n v="89.994949000000005"/>
    <n v="25887800"/>
  </r>
  <r>
    <x v="8064"/>
    <n v="95.290001000000004"/>
    <n v="96.540001000000004"/>
    <n v="95"/>
    <x v="4386"/>
    <n v="92.005852000000004"/>
    <n v="36937300"/>
  </r>
  <r>
    <x v="8065"/>
    <n v="96.5"/>
    <n v="97.209998999999996"/>
    <n v="96.040001000000004"/>
    <x v="4387"/>
    <n v="92.225029000000006"/>
    <n v="26073700"/>
  </r>
  <r>
    <x v="8066"/>
    <n v="97"/>
    <n v="97.239998"/>
    <n v="93.970000999999996"/>
    <x v="4388"/>
    <n v="89.975891000000004"/>
    <n v="35387800"/>
  </r>
  <r>
    <x v="8067"/>
    <n v="95.120002999999997"/>
    <n v="95.410004000000001"/>
    <n v="93.5"/>
    <x v="4389"/>
    <n v="89.442177000000001"/>
    <n v="32132000"/>
  </r>
  <r>
    <x v="8068"/>
    <n v="93.529999000000004"/>
    <n v="94.580001999999993"/>
    <n v="92.830001999999993"/>
    <x v="4390"/>
    <n v="89.756698999999998"/>
    <n v="27611000"/>
  </r>
  <r>
    <x v="8069"/>
    <n v="94.68"/>
    <n v="95.379997000000003"/>
    <n v="93.919998000000007"/>
    <x v="4391"/>
    <n v="90.156966999999995"/>
    <n v="49081300"/>
  </r>
  <r>
    <x v="8070"/>
    <n v="93.739998"/>
    <n v="93.900002000000001"/>
    <n v="92.110000999999997"/>
    <x v="4392"/>
    <n v="88.527275000000003"/>
    <n v="33344100"/>
  </r>
  <r>
    <x v="8071"/>
    <n v="93.050003000000004"/>
    <n v="93.769997000000004"/>
    <n v="93"/>
    <x v="4393"/>
    <n v="88.755989"/>
    <n v="23075200"/>
  </r>
  <r>
    <x v="8072"/>
    <n v="92.93"/>
    <n v="94.050003000000004"/>
    <n v="92.209998999999996"/>
    <x v="4394"/>
    <n v="88.136536000000007"/>
    <n v="24457100"/>
  </r>
  <r>
    <x v="8073"/>
    <n v="91.269997000000004"/>
    <n v="91.75"/>
    <n v="89.660004000000001"/>
    <x v="4395"/>
    <n v="85.572875999999994"/>
    <n v="38604700"/>
  </r>
  <r>
    <x v="8074"/>
    <n v="89.5"/>
    <n v="90.459998999999996"/>
    <n v="87.080001999999993"/>
    <x v="4396"/>
    <n v="83.085457000000005"/>
    <n v="44068900"/>
  </r>
  <r>
    <x v="8075"/>
    <n v="90.610000999999997"/>
    <n v="94"/>
    <n v="90.400002000000001"/>
    <x v="4397"/>
    <n v="89.375473"/>
    <n v="56396800"/>
  </r>
  <r>
    <x v="8076"/>
    <n v="94.940002000000007"/>
    <n v="95.139999000000003"/>
    <n v="88.510002"/>
    <x v="4398"/>
    <n v="85.267905999999996"/>
    <n v="56569000"/>
  </r>
  <r>
    <x v="8077"/>
    <n v="89.82"/>
    <n v="91.230002999999996"/>
    <n v="88.870002999999997"/>
    <x v="4399"/>
    <n v="85.191649999999996"/>
    <n v="52501100"/>
  </r>
  <r>
    <x v="8078"/>
    <n v="90.18"/>
    <n v="92.290001000000004"/>
    <n v="88.400002000000001"/>
    <x v="4400"/>
    <n v="86.983367999999999"/>
    <n v="45867500"/>
  </r>
  <r>
    <x v="8079"/>
    <n v="90.470000999999996"/>
    <n v="90.879997000000003"/>
    <n v="87.510002"/>
    <x v="4401"/>
    <n v="84.362494999999996"/>
    <n v="48515400"/>
  </r>
  <r>
    <x v="8080"/>
    <n v="89.580001999999993"/>
    <n v="90.050003000000004"/>
    <n v="87.889999000000003"/>
    <x v="4402"/>
    <n v="85.496612999999996"/>
    <n v="37213800"/>
  </r>
  <r>
    <x v="8081"/>
    <n v="87.849997999999999"/>
    <n v="92.760002"/>
    <n v="87.730002999999996"/>
    <x v="4357"/>
    <n v="87.993590999999995"/>
    <n v="35560000"/>
  </r>
  <r>
    <x v="8082"/>
    <n v="92.440002000000007"/>
    <n v="93.07"/>
    <n v="91.400002000000001"/>
    <x v="4403"/>
    <n v="88.041222000000005"/>
    <n v="29771900"/>
  </r>
  <r>
    <x v="8083"/>
    <n v="91.489998"/>
    <n v="92.459998999999996"/>
    <n v="89.480002999999996"/>
    <x v="4404"/>
    <n v="85.99221"/>
    <n v="38026000"/>
  </r>
  <r>
    <x v="8084"/>
    <n v="91.040001000000004"/>
    <n v="93.169998000000007"/>
    <n v="90.620002999999997"/>
    <x v="4405"/>
    <n v="86.506827999999999"/>
    <n v="31533900"/>
  </r>
  <r>
    <x v="8085"/>
    <n v="92.389999000000003"/>
    <n v="93.279999000000004"/>
    <n v="91.639999000000003"/>
    <x v="4406"/>
    <n v="88.517737999999994"/>
    <n v="26812000"/>
  </r>
  <r>
    <x v="8086"/>
    <n v="92.010002"/>
    <n v="93.290001000000004"/>
    <n v="91.480002999999996"/>
    <x v="4407"/>
    <n v="87.545661999999993"/>
    <n v="24872100"/>
  </r>
  <r>
    <x v="8087"/>
    <n v="92.43"/>
    <n v="94.160004000000001"/>
    <n v="92.43"/>
    <x v="4408"/>
    <n v="89.18486"/>
    <n v="26758900"/>
  </r>
  <r>
    <x v="8088"/>
    <n v="94.050003000000004"/>
    <n v="94.18"/>
    <n v="92.440002000000007"/>
    <x v="4409"/>
    <n v="88.708343999999997"/>
    <n v="23346100"/>
  </r>
  <r>
    <x v="8089"/>
    <n v="94.07"/>
    <n v="94.660004000000001"/>
    <n v="93.419998000000007"/>
    <x v="4410"/>
    <n v="89.747153999999995"/>
    <n v="20288100"/>
  </r>
  <r>
    <x v="8090"/>
    <n v="95"/>
    <n v="96.540001000000004"/>
    <n v="94.879997000000003"/>
    <x v="4411"/>
    <n v="91.557922000000005"/>
    <n v="26771000"/>
  </r>
  <r>
    <x v="8091"/>
    <n v="96.220000999999996"/>
    <n v="96.720000999999996"/>
    <n v="95.519997000000004"/>
    <x v="4412"/>
    <n v="91.910544999999999"/>
    <n v="21043300"/>
  </r>
  <r>
    <x v="8092"/>
    <n v="96.440002000000007"/>
    <n v="97.07"/>
    <n v="95.339995999999999"/>
    <x v="4413"/>
    <n v="91.596039000000005"/>
    <n v="23552500"/>
  </r>
  <r>
    <x v="8093"/>
    <n v="95.910004000000001"/>
    <n v="96.110000999999997"/>
    <n v="94.050003000000004"/>
    <x v="4414"/>
    <n v="90.538169999999994"/>
    <n v="31154400"/>
  </r>
  <r>
    <x v="8094"/>
    <n v="95.739998"/>
    <n v="96.290001000000004"/>
    <n v="94.629997000000003"/>
    <x v="4415"/>
    <n v="90.871741999999998"/>
    <n v="22331800"/>
  </r>
  <r>
    <x v="8095"/>
    <n v="96.239998"/>
    <n v="96.470000999999996"/>
    <n v="92.410004000000001"/>
    <x v="4416"/>
    <n v="88.746467999999993"/>
    <n v="34524800"/>
  </r>
  <r>
    <x v="8096"/>
    <n v="93.300003000000004"/>
    <n v="93.300003000000004"/>
    <n v="90.279999000000004"/>
    <x v="4417"/>
    <n v="87.974518000000003"/>
    <n v="33729300"/>
  </r>
  <r>
    <x v="8097"/>
    <n v="93.550003000000004"/>
    <n v="95.150002000000001"/>
    <n v="93.099997999999999"/>
    <x v="4362"/>
    <n v="89.832924000000006"/>
    <n v="42529000"/>
  </r>
  <r>
    <x v="8098"/>
    <n v="97.599997999999999"/>
    <n v="97.900002000000001"/>
    <n v="93.910004000000001"/>
    <x v="4418"/>
    <n v="91.319648999999998"/>
    <n v="48272800"/>
  </r>
  <r>
    <x v="8099"/>
    <n v="96.330001999999993"/>
    <n v="96.400002000000001"/>
    <n v="93.150002000000001"/>
    <x v="4419"/>
    <n v="89.127678000000003"/>
    <n v="41523600"/>
  </r>
  <r>
    <x v="8100"/>
    <n v="93.209998999999996"/>
    <n v="95.290001000000004"/>
    <n v="92.790001000000004"/>
    <x v="4414"/>
    <n v="90.538169999999994"/>
    <n v="31408900"/>
  </r>
  <r>
    <x v="8101"/>
    <n v="94.989998"/>
    <n v="95.169998000000007"/>
    <n v="93.190002000000007"/>
    <x v="4420"/>
    <n v="89.118163999999993"/>
    <n v="27471000"/>
  </r>
  <r>
    <x v="8102"/>
    <n v="92.959998999999996"/>
    <n v="94.93"/>
    <n v="92.449996999999996"/>
    <x v="4421"/>
    <n v="89.651848000000001"/>
    <n v="31142500"/>
  </r>
  <r>
    <x v="8103"/>
    <n v="93.32"/>
    <n v="95.370002999999997"/>
    <n v="92.919998000000007"/>
    <x v="4422"/>
    <n v="90.690658999999997"/>
    <n v="22531300"/>
  </r>
  <r>
    <x v="8104"/>
    <n v="95.169998000000007"/>
    <n v="96.709998999999996"/>
    <n v="95.099997999999999"/>
    <x v="4423"/>
    <n v="91.700858999999994"/>
    <n v="24242000"/>
  </r>
  <r>
    <x v="8105"/>
    <n v="95.849997999999999"/>
    <n v="96.160004000000001"/>
    <n v="95.059997999999993"/>
    <x v="4424"/>
    <n v="91.310126999999994"/>
    <n v="23484600"/>
  </r>
  <r>
    <x v="8106"/>
    <n v="96.010002"/>
    <n v="96.970000999999996"/>
    <n v="95.050003000000004"/>
    <x v="4425"/>
    <n v="92.387077000000005"/>
    <n v="27327400"/>
  </r>
  <r>
    <x v="8107"/>
    <n v="97.459998999999996"/>
    <n v="97.949996999999996"/>
    <n v="97.050003000000004"/>
    <x v="4426"/>
    <n v="93.311508000000003"/>
    <n v="22388100"/>
  </r>
  <r>
    <x v="8108"/>
    <n v="97.800003000000004"/>
    <n v="97.870002999999997"/>
    <n v="97.040001000000004"/>
    <x v="4427"/>
    <n v="93.111350999999999"/>
    <n v="16778300"/>
  </r>
  <r>
    <x v="8109"/>
    <n v="97.919998000000007"/>
    <n v="98.690002000000007"/>
    <n v="97.309997999999993"/>
    <x v="4428"/>
    <n v="93.425865000000002"/>
    <n v="19454100"/>
  </r>
  <r>
    <x v="8110"/>
    <n v="97.239998"/>
    <n v="97.849997999999999"/>
    <n v="96.339995999999999"/>
    <x v="4429"/>
    <n v="92.749213999999995"/>
    <n v="24594000"/>
  </r>
  <r>
    <x v="8111"/>
    <n v="97.360000999999997"/>
    <n v="97.400002000000001"/>
    <n v="96.620002999999997"/>
    <x v="4430"/>
    <n v="92.988510000000005"/>
    <n v="17384700"/>
  </r>
  <r>
    <x v="8112"/>
    <n v="96.760002"/>
    <n v="97.540001000000004"/>
    <n v="95.830001999999993"/>
    <x v="4431"/>
    <n v="92.060042999999993"/>
    <n v="17246700"/>
  </r>
  <r>
    <x v="8113"/>
    <n v="96.010002"/>
    <n v="96.93"/>
    <n v="96.010002"/>
    <x v="4432"/>
    <n v="92.232346000000007"/>
    <n v="17865800"/>
  </r>
  <r>
    <x v="8114"/>
    <n v="97"/>
    <n v="98.010002"/>
    <n v="96.800003000000004"/>
    <x v="4433"/>
    <n v="93.419235"/>
    <n v="19422500"/>
  </r>
  <r>
    <x v="8115"/>
    <n v="97.68"/>
    <n v="98.169998000000007"/>
    <n v="97.199996999999996"/>
    <x v="4434"/>
    <n v="93.323493999999997"/>
    <n v="15441200"/>
  </r>
  <r>
    <x v="8116"/>
    <n v="96.709998999999996"/>
    <n v="98.730002999999996"/>
    <n v="96.32"/>
    <x v="4435"/>
    <n v="94.43383"/>
    <n v="21251200"/>
  </r>
  <r>
    <x v="8117"/>
    <n v="98.730002999999996"/>
    <n v="98.940002000000007"/>
    <n v="96.809997999999993"/>
    <x v="4436"/>
    <n v="94.098808000000005"/>
    <n v="26649300"/>
  </r>
  <r>
    <x v="8118"/>
    <n v="98.300003000000004"/>
    <n v="98.980002999999996"/>
    <n v="97.860000999999997"/>
    <x v="4437"/>
    <n v="94.146659999999997"/>
    <n v="18363900"/>
  </r>
  <r>
    <x v="8119"/>
    <n v="97.839995999999999"/>
    <n v="98.879997000000003"/>
    <n v="97.230002999999996"/>
    <x v="4438"/>
    <n v="93.811667999999997"/>
    <n v="28671000"/>
  </r>
  <r>
    <x v="8120"/>
    <n v="98.309997999999993"/>
    <n v="99.25"/>
    <n v="97.910004000000001"/>
    <x v="4439"/>
    <n v="94.711380000000005"/>
    <n v="22158500"/>
  </r>
  <r>
    <x v="8121"/>
    <n v="99.290001000000004"/>
    <n v="99.989998"/>
    <n v="98.610000999999997"/>
    <x v="4440"/>
    <n v="94.606110000000001"/>
    <n v="34140900"/>
  </r>
  <r>
    <x v="8122"/>
    <n v="99.279999000000004"/>
    <n v="100.860001"/>
    <n v="99.169998000000007"/>
    <x v="4441"/>
    <n v="96.472579999999994"/>
    <n v="28655600"/>
  </r>
  <r>
    <x v="8123"/>
    <n v="101.260002"/>
    <n v="101.860001"/>
    <n v="100.849998"/>
    <x v="4442"/>
    <n v="97.314896000000005"/>
    <n v="27281600"/>
  </r>
  <r>
    <x v="8124"/>
    <n v="102"/>
    <n v="102.33000199999999"/>
    <n v="101.529999"/>
    <x v="4443"/>
    <n v="97.812613999999996"/>
    <n v="23514400"/>
  </r>
  <r>
    <x v="8125"/>
    <n v="102.480003"/>
    <n v="102.599998"/>
    <n v="101.900002"/>
    <x v="4444"/>
    <n v="98.099754000000004"/>
    <n v="21122900"/>
  </r>
  <r>
    <x v="8126"/>
    <n v="102.650002"/>
    <n v="102.69000200000001"/>
    <n v="100.379997"/>
    <x v="4445"/>
    <n v="96.558707999999996"/>
    <n v="28232200"/>
  </r>
  <r>
    <x v="8127"/>
    <n v="101.089996"/>
    <n v="101.949997"/>
    <n v="100.540001"/>
    <x v="4446"/>
    <n v="97.276588000000004"/>
    <n v="22165100"/>
  </r>
  <r>
    <x v="8128"/>
    <n v="101.010002"/>
    <n v="101.589996"/>
    <n v="100.66999800000001"/>
    <x v="4447"/>
    <n v="96.721451000000002"/>
    <n v="23490900"/>
  </r>
  <r>
    <x v="8129"/>
    <n v="101.099998"/>
    <n v="101.449997"/>
    <n v="100.75"/>
    <x v="4448"/>
    <n v="96.970305999999994"/>
    <n v="18325200"/>
  </r>
  <r>
    <x v="8130"/>
    <n v="101.720001"/>
    <n v="102.010002"/>
    <n v="100.55999799999999"/>
    <x v="4449"/>
    <n v="96.530006"/>
    <n v="29492900"/>
  </r>
  <r>
    <x v="8131"/>
    <n v="101.650002"/>
    <n v="102.029999"/>
    <n v="101"/>
    <x v="4450"/>
    <n v="97.075584000000006"/>
    <n v="25691800"/>
  </r>
  <r>
    <x v="8132"/>
    <n v="101.510002"/>
    <n v="101.529999"/>
    <n v="100.07"/>
    <x v="4451"/>
    <n v="95.840851000000001"/>
    <n v="65738600"/>
  </r>
  <r>
    <x v="8133"/>
    <n v="100.010002"/>
    <n v="101.110001"/>
    <n v="99.419998000000007"/>
    <x v="4452"/>
    <n v="96.539574000000002"/>
    <n v="23586000"/>
  </r>
  <r>
    <x v="8134"/>
    <n v="99.650002000000001"/>
    <n v="101"/>
    <n v="99.5"/>
    <x v="4452"/>
    <n v="96.539574000000002"/>
    <n v="28653100"/>
  </r>
  <r>
    <x v="8135"/>
    <n v="101.370003"/>
    <n v="102.519997"/>
    <n v="101.120003"/>
    <x v="4453"/>
    <n v="97.506309999999999"/>
    <n v="26180800"/>
  </r>
  <r>
    <x v="8136"/>
    <n v="102.08000199999999"/>
    <n v="102.459999"/>
    <n v="100.879997"/>
    <x v="4454"/>
    <n v="96.807593999999995"/>
    <n v="23198200"/>
  </r>
  <r>
    <x v="8137"/>
    <n v="100.410004"/>
    <n v="100.769997"/>
    <n v="99.629997000000003"/>
    <x v="4455"/>
    <n v="96.108863999999997"/>
    <n v="38923100"/>
  </r>
  <r>
    <x v="8138"/>
    <n v="100"/>
    <n v="100.110001"/>
    <n v="97.300003000000004"/>
    <x v="4456"/>
    <n v="94.175369000000003"/>
    <n v="35433300"/>
  </r>
  <r>
    <x v="8139"/>
    <n v="98.82"/>
    <n v="100.08000199999999"/>
    <n v="98.75"/>
    <x v="4457"/>
    <n v="94.835830999999999"/>
    <n v="26897200"/>
  </r>
  <r>
    <x v="8140"/>
    <n v="99.580001999999993"/>
    <n v="100.019997"/>
    <n v="97.400002000000001"/>
    <x v="4458"/>
    <n v="93.361801"/>
    <n v="31298400"/>
  </r>
  <r>
    <x v="8141"/>
    <n v="97.379997000000003"/>
    <n v="99.110000999999997"/>
    <n v="97.260002"/>
    <x v="4459"/>
    <n v="94.405090000000001"/>
    <n v="26650700"/>
  </r>
  <r>
    <x v="8142"/>
    <n v="98.93"/>
    <n v="99.910004000000001"/>
    <n v="98.330001999999993"/>
    <x v="4460"/>
    <n v="94.385955999999993"/>
    <n v="28053200"/>
  </r>
  <r>
    <x v="8143"/>
    <n v="98.099997999999999"/>
    <n v="100.05999799999999"/>
    <n v="98"/>
    <x v="4461"/>
    <n v="95.725989999999996"/>
    <n v="19564500"/>
  </r>
  <r>
    <x v="8144"/>
    <n v="100.480003"/>
    <n v="100.629997"/>
    <n v="98.940002000000007"/>
    <x v="4462"/>
    <n v="94.807120999999995"/>
    <n v="14670300"/>
  </r>
  <r>
    <x v="8145"/>
    <n v="99.5"/>
    <n v="99.919998000000007"/>
    <n v="99.029999000000004"/>
    <x v="4463"/>
    <n v="95.486710000000002"/>
    <n v="18977400"/>
  </r>
  <r>
    <x v="8146"/>
    <n v="99.889999000000003"/>
    <n v="101.43"/>
    <n v="99.669998000000007"/>
    <x v="4464"/>
    <n v="96.826744000000005"/>
    <n v="19234600"/>
  </r>
  <r>
    <x v="8147"/>
    <n v="101.650002"/>
    <n v="102.25"/>
    <n v="101.25"/>
    <x v="4465"/>
    <n v="97.487160000000003"/>
    <n v="18212000"/>
  </r>
  <r>
    <x v="8148"/>
    <n v="102"/>
    <n v="102.510002"/>
    <n v="101.860001"/>
    <x v="4466"/>
    <n v="97.745604999999998"/>
    <n v="19293100"/>
  </r>
  <r>
    <x v="8149"/>
    <n v="101.150002"/>
    <n v="102.339996"/>
    <n v="101.099998"/>
    <x v="4467"/>
    <n v="97.611609999999999"/>
    <n v="19644600"/>
  </r>
  <r>
    <x v="8150"/>
    <n v="102.769997"/>
    <n v="104.410004"/>
    <n v="102.730003"/>
    <x v="4468"/>
    <n v="99.726951999999997"/>
    <n v="24335900"/>
  </r>
  <r>
    <x v="8151"/>
    <n v="104.370003"/>
    <n v="105.599998"/>
    <n v="104.089996"/>
    <x v="4469"/>
    <n v="100.913803"/>
    <n v="24635200"/>
  </r>
  <r>
    <x v="8152"/>
    <n v="105.400002"/>
    <n v="105.82"/>
    <n v="104.519997"/>
    <x v="4470"/>
    <n v="100.416107"/>
    <n v="21786900"/>
  </r>
  <r>
    <x v="8153"/>
    <n v="104.610001"/>
    <n v="106.5"/>
    <n v="104.32"/>
    <x v="4471"/>
    <n v="101.41155999999999"/>
    <n v="25901700"/>
  </r>
  <r>
    <x v="8154"/>
    <n v="105.94000200000001"/>
    <n v="106.050003"/>
    <n v="104.720001"/>
    <x v="4472"/>
    <n v="100.617119"/>
    <n v="29493900"/>
  </r>
  <r>
    <x v="8155"/>
    <n v="104.93"/>
    <n v="105.30999799999999"/>
    <n v="103.889999"/>
    <x v="4473"/>
    <n v="99.927955999999995"/>
    <n v="40171600"/>
  </r>
  <r>
    <x v="8156"/>
    <n v="108.08000199999999"/>
    <n v="108.199997"/>
    <n v="106.08000199999999"/>
    <x v="4474"/>
    <n v="101.717834"/>
    <n v="56004000"/>
  </r>
  <r>
    <x v="8157"/>
    <n v="106.300003"/>
    <n v="108.139999"/>
    <n v="106.129997"/>
    <x v="4475"/>
    <n v="103.345016"/>
    <n v="29707000"/>
  </r>
  <r>
    <x v="8158"/>
    <n v="108.57"/>
    <n v="108.82"/>
    <n v="107.260002"/>
    <x v="4476"/>
    <n v="103.04830200000001"/>
    <n v="26316600"/>
  </r>
  <r>
    <x v="8159"/>
    <n v="107.959999"/>
    <n v="111.150002"/>
    <n v="107.599998"/>
    <x v="4477"/>
    <n v="106.082504"/>
    <n v="30702100"/>
  </r>
  <r>
    <x v="8160"/>
    <n v="110.739998"/>
    <n v="111"/>
    <n v="109.5"/>
    <x v="4478"/>
    <n v="104.924339"/>
    <n v="31372100"/>
  </r>
  <r>
    <x v="8161"/>
    <n v="110.18"/>
    <n v="110.18"/>
    <n v="106.139999"/>
    <x v="4479"/>
    <n v="103.06745100000001"/>
    <n v="37005300"/>
  </r>
  <r>
    <x v="8162"/>
    <n v="107.19000200000001"/>
    <n v="107.529999"/>
    <n v="104.760002"/>
    <x v="4480"/>
    <n v="100.85638400000001"/>
    <n v="34668300"/>
  </r>
  <r>
    <x v="8163"/>
    <n v="106.489998"/>
    <n v="106.720001"/>
    <n v="105.379997"/>
    <x v="4481"/>
    <n v="101.53598"/>
    <n v="27655200"/>
  </r>
  <r>
    <x v="8164"/>
    <n v="106.029999"/>
    <n v="106.449997"/>
    <n v="105.41999800000001"/>
    <x v="4482"/>
    <n v="101.727394"/>
    <n v="23628700"/>
  </r>
  <r>
    <x v="8165"/>
    <n v="105.400002"/>
    <n v="108.089996"/>
    <n v="104.839996"/>
    <x v="4483"/>
    <n v="102.962158"/>
    <n v="26104300"/>
  </r>
  <r>
    <x v="8166"/>
    <n v="107.800003"/>
    <n v="108.050003"/>
    <n v="106.82"/>
    <x v="4484"/>
    <n v="103.412048"/>
    <n v="18659600"/>
  </r>
  <r>
    <x v="8167"/>
    <n v="108.120003"/>
    <n v="108.41999800000001"/>
    <n v="107.55999799999999"/>
    <x v="4485"/>
    <n v="103.498154"/>
    <n v="20265900"/>
  </r>
  <r>
    <x v="8168"/>
    <n v="108.55999799999999"/>
    <n v="109.099998"/>
    <n v="108.16999800000001"/>
    <x v="4486"/>
    <n v="104.21603399999999"/>
    <n v="16080200"/>
  </r>
  <r>
    <x v="8169"/>
    <n v="109.33000199999999"/>
    <n v="109.75"/>
    <n v="108.760002"/>
    <x v="4487"/>
    <n v="104.79991099999999"/>
    <n v="15487500"/>
  </r>
  <r>
    <x v="8170"/>
    <n v="109.709999"/>
    <n v="110.160004"/>
    <n v="109.599998"/>
    <x v="4488"/>
    <n v="104.97219800000001"/>
    <n v="13677200"/>
  </r>
  <r>
    <x v="8171"/>
    <n v="109.41999800000001"/>
    <n v="109.69000200000001"/>
    <n v="108.379997"/>
    <x v="4489"/>
    <n v="104.330917"/>
    <n v="18183700"/>
  </r>
  <r>
    <x v="8172"/>
    <n v="109.239998"/>
    <n v="109.58000199999999"/>
    <n v="108.099998"/>
    <x v="4490"/>
    <n v="103.574738"/>
    <n v="18472500"/>
  </r>
  <r>
    <x v="8173"/>
    <n v="108.55999799999999"/>
    <n v="109.75"/>
    <n v="108.040001"/>
    <x v="4491"/>
    <n v="104.866913"/>
    <n v="16788300"/>
  </r>
  <r>
    <x v="8174"/>
    <n v="108.489998"/>
    <n v="108.989998"/>
    <n v="106.82"/>
    <x v="4476"/>
    <n v="103.444862"/>
    <n v="29982800"/>
  </r>
  <r>
    <x v="8175"/>
    <n v="108.300003"/>
    <n v="108.860001"/>
    <n v="107.300003"/>
    <x v="4492"/>
    <n v="103.425636"/>
    <n v="21384300"/>
  </r>
  <r>
    <x v="8176"/>
    <n v="107.360001"/>
    <n v="107.900002"/>
    <n v="106.69000200000001"/>
    <x v="4493"/>
    <n v="103.36798899999999"/>
    <n v="18061500"/>
  </r>
  <r>
    <x v="8177"/>
    <n v="107.510002"/>
    <n v="107.900002"/>
    <n v="106.480003"/>
    <x v="4494"/>
    <n v="102.685799"/>
    <n v="17914200"/>
  </r>
  <r>
    <x v="8178"/>
    <n v="106.91999800000001"/>
    <n v="107.349998"/>
    <n v="105.849998"/>
    <x v="4495"/>
    <n v="101.830635"/>
    <n v="22881900"/>
  </r>
  <r>
    <x v="8179"/>
    <n v="105.849998"/>
    <n v="107.339996"/>
    <n v="105.779999"/>
    <x v="4496"/>
    <n v="102.868347"/>
    <n v="18000600"/>
  </r>
  <r>
    <x v="8180"/>
    <n v="107.150002"/>
    <n v="108.18"/>
    <n v="106.870003"/>
    <x v="4497"/>
    <n v="103.348778"/>
    <n v="18167700"/>
  </r>
  <r>
    <x v="8181"/>
    <n v="107.66999800000001"/>
    <n v="108.55999799999999"/>
    <n v="107.55999799999999"/>
    <x v="4498"/>
    <n v="104.155884"/>
    <n v="17234000"/>
  </r>
  <r>
    <x v="8182"/>
    <n v="109.269997"/>
    <n v="109.639999"/>
    <n v="108.510002"/>
    <x v="4499"/>
    <n v="105.308899"/>
    <n v="19662300"/>
  </r>
  <r>
    <x v="8183"/>
    <n v="109.94000200000001"/>
    <n v="110.5"/>
    <n v="109.790001"/>
    <x v="4500"/>
    <n v="105.943062"/>
    <n v="19151500"/>
  </r>
  <r>
    <x v="8184"/>
    <n v="110.449997"/>
    <n v="112.029999"/>
    <n v="110.269997"/>
    <x v="4501"/>
    <n v="107.63415500000001"/>
    <n v="20818000"/>
  </r>
  <r>
    <x v="8185"/>
    <n v="111.66999800000001"/>
    <n v="112.610001"/>
    <n v="111.44000200000001"/>
    <x v="4502"/>
    <n v="107.56688699999999"/>
    <n v="22798700"/>
  </r>
  <r>
    <x v="8186"/>
    <n v="111.69000200000001"/>
    <n v="112.779999"/>
    <n v="111.519997"/>
    <x v="4503"/>
    <n v="107.932014"/>
    <n v="23222700"/>
  </r>
  <r>
    <x v="8187"/>
    <n v="110.849998"/>
    <n v="111.959999"/>
    <n v="110.220001"/>
    <x v="4504"/>
    <n v="107.336296"/>
    <n v="22634600"/>
  </r>
  <r>
    <x v="8188"/>
    <n v="111.010002"/>
    <n v="111.41999800000001"/>
    <n v="108.099998"/>
    <x v="4505"/>
    <n v="104.24234800000001"/>
    <n v="32872400"/>
  </r>
  <r>
    <x v="8189"/>
    <n v="108.25"/>
    <n v="108.989998"/>
    <n v="107.510002"/>
    <x v="4506"/>
    <n v="104.48258199999999"/>
    <n v="23477600"/>
  </r>
  <r>
    <x v="8190"/>
    <n v="108.230003"/>
    <n v="108.720001"/>
    <n v="107.230003"/>
    <x v="4490"/>
    <n v="103.97332"/>
    <n v="22498600"/>
  </r>
  <r>
    <x v="8191"/>
    <n v="108.839996"/>
    <n v="109.639999"/>
    <n v="108.360001"/>
    <x v="4507"/>
    <n v="105.09751900000001"/>
    <n v="20727900"/>
  </r>
  <r>
    <x v="8192"/>
    <n v="108.900002"/>
    <n v="111.589996"/>
    <n v="108.889999"/>
    <x v="4508"/>
    <n v="106.884697"/>
    <n v="24301800"/>
  </r>
  <r>
    <x v="8193"/>
    <n v="111.43"/>
    <n v="111.849998"/>
    <n v="110.510002"/>
    <x v="4504"/>
    <n v="107.336296"/>
    <n v="18891100"/>
  </r>
  <r>
    <x v="8194"/>
    <n v="112.120003"/>
    <n v="113.730003"/>
    <n v="112.120003"/>
    <x v="4509"/>
    <n v="108.489304"/>
    <n v="26055600"/>
  </r>
  <r>
    <x v="8195"/>
    <n v="113.360001"/>
    <n v="113.730003"/>
    <n v="112.44000200000001"/>
    <x v="4510"/>
    <n v="108.931313"/>
    <n v="19122300"/>
  </r>
  <r>
    <x v="8196"/>
    <n v="113.69000200000001"/>
    <n v="113.699997"/>
    <n v="111.860001"/>
    <x v="4511"/>
    <n v="107.74945099999999"/>
    <n v="20736500"/>
  </r>
  <r>
    <x v="8197"/>
    <n v="112.19000200000001"/>
    <n v="113.699997"/>
    <n v="111.720001"/>
    <x v="4512"/>
    <n v="108.777565"/>
    <n v="22170900"/>
  </r>
  <r>
    <x v="8198"/>
    <n v="113.050003"/>
    <n v="113.32"/>
    <n v="111.040001"/>
    <x v="4513"/>
    <n v="107.326683"/>
    <n v="21728400"/>
  </r>
  <r>
    <x v="8199"/>
    <n v="112.279999"/>
    <n v="113.800003"/>
    <n v="111.93"/>
    <x v="4514"/>
    <n v="109.12346599999999"/>
    <n v="23714500"/>
  </r>
  <r>
    <x v="8200"/>
    <n v="114"/>
    <n v="115.290001"/>
    <n v="113.510002"/>
    <x v="4515"/>
    <n v="109.786461"/>
    <n v="71229700"/>
  </r>
  <r>
    <x v="8201"/>
    <n v="113.029999"/>
    <n v="114.900002"/>
    <n v="112.220001"/>
    <x v="4516"/>
    <n v="110.18040499999999"/>
    <n v="27334500"/>
  </r>
  <r>
    <x v="8202"/>
    <n v="114.800003"/>
    <n v="115.099998"/>
    <n v="113.75"/>
    <x v="4517"/>
    <n v="109.969009"/>
    <n v="22668000"/>
  </r>
  <r>
    <x v="8203"/>
    <n v="114.470001"/>
    <n v="115.05999799999999"/>
    <n v="113.739998"/>
    <x v="4518"/>
    <n v="109.51741"/>
    <n v="19352000"/>
  </r>
  <r>
    <x v="8204"/>
    <n v="114.779999"/>
    <n v="114.910004"/>
    <n v="114.199997"/>
    <x v="4519"/>
    <n v="109.930588"/>
    <n v="19091300"/>
  </r>
  <r>
    <x v="8205"/>
    <n v="114.19000200000001"/>
    <n v="114.57"/>
    <n v="113.68"/>
    <x v="4520"/>
    <n v="109.892143"/>
    <n v="21647800"/>
  </r>
  <r>
    <x v="8206"/>
    <n v="114.75"/>
    <n v="115.68"/>
    <n v="114.730003"/>
    <x v="4521"/>
    <n v="111.08358800000001"/>
    <n v="18883100"/>
  </r>
  <r>
    <x v="8207"/>
    <n v="115.300003"/>
    <n v="115.839996"/>
    <n v="114.44000200000001"/>
    <x v="4522"/>
    <n v="110.641609"/>
    <n v="20787200"/>
  </r>
  <r>
    <x v="8208"/>
    <n v="115.41999800000001"/>
    <n v="116.18"/>
    <n v="114.93"/>
    <x v="4523"/>
    <n v="110.66082"/>
    <n v="16648000"/>
  </r>
  <r>
    <x v="8209"/>
    <n v="114.610001"/>
    <n v="114.760002"/>
    <n v="111.629997"/>
    <x v="4524"/>
    <n v="108.374008"/>
    <n v="34821700"/>
  </r>
  <r>
    <x v="8210"/>
    <n v="112.629997"/>
    <n v="113.16999800000001"/>
    <n v="110.639999"/>
    <x v="4525"/>
    <n v="107.739853"/>
    <n v="29068900"/>
  </r>
  <r>
    <x v="8211"/>
    <n v="111.660004"/>
    <n v="112.029999"/>
    <n v="109.339996"/>
    <x v="4526"/>
    <n v="106.509956"/>
    <n v="29640600"/>
  </r>
  <r>
    <x v="8212"/>
    <n v="111.139999"/>
    <n v="113.08000199999999"/>
    <n v="110.800003"/>
    <x v="4527"/>
    <n v="107.864761"/>
    <n v="26198600"/>
  </r>
  <r>
    <x v="8213"/>
    <n v="111.239998"/>
    <n v="111.5"/>
    <n v="105.790001"/>
    <x v="4528"/>
    <n v="102.003593"/>
    <n v="61376300"/>
  </r>
  <r>
    <x v="8214"/>
    <n v="105.349998"/>
    <n v="108.93"/>
    <n v="104.199997"/>
    <x v="4529"/>
    <n v="101.763374"/>
    <n v="63904300"/>
  </r>
  <r>
    <x v="8215"/>
    <n v="109.010002"/>
    <n v="111.239998"/>
    <n v="107.120003"/>
    <x v="4530"/>
    <n v="105.280083"/>
    <n v="47742100"/>
  </r>
  <r>
    <x v="8216"/>
    <n v="108.910004"/>
    <n v="109.480003"/>
    <n v="106.949997"/>
    <x v="4531"/>
    <n v="103.387207"/>
    <n v="32068100"/>
  </r>
  <r>
    <x v="8217"/>
    <n v="109.540001"/>
    <n v="111.410004"/>
    <n v="108.949997"/>
    <x v="4532"/>
    <n v="106.654076"/>
    <n v="31610200"/>
  </r>
  <r>
    <x v="8218"/>
    <n v="111.68"/>
    <n v="111.80999799999999"/>
    <n v="109.550003"/>
    <x v="4533"/>
    <n v="106.37545"/>
    <n v="26548200"/>
  </r>
  <r>
    <x v="8219"/>
    <n v="110.099998"/>
    <n v="110.529999"/>
    <n v="107.83000199999999"/>
    <x v="4534"/>
    <n v="104.251976"/>
    <n v="32506200"/>
  </r>
  <r>
    <x v="8220"/>
    <n v="108.93"/>
    <n v="110.860001"/>
    <n v="108.209999"/>
    <x v="4535"/>
    <n v="104.405708"/>
    <n v="32785500"/>
  </r>
  <r>
    <x v="8221"/>
    <n v="109.32"/>
    <n v="110.540001"/>
    <n v="108.239998"/>
    <x v="4536"/>
    <n v="105.337723"/>
    <n v="26545600"/>
  </r>
  <r>
    <x v="8222"/>
    <n v="107.769997"/>
    <n v="108.970001"/>
    <n v="105.110001"/>
    <x v="4537"/>
    <n v="103.867622"/>
    <n v="43770400"/>
  </r>
  <r>
    <x v="8223"/>
    <n v="108.410004"/>
    <n v="108.489998"/>
    <n v="101.589996"/>
    <x v="4538"/>
    <n v="98.313927000000007"/>
    <n v="63897800"/>
  </r>
  <r>
    <x v="8224"/>
    <n v="106.550003"/>
    <n v="109.269997"/>
    <n v="106.150002"/>
    <x v="4539"/>
    <n v="104.059799"/>
    <n v="61646800"/>
  </r>
  <r>
    <x v="8225"/>
    <n v="105.69000200000001"/>
    <n v="108.75"/>
    <n v="104.760002"/>
    <x v="4540"/>
    <n v="102.772255"/>
    <n v="55523100"/>
  </r>
  <r>
    <x v="8226"/>
    <n v="108.110001"/>
    <n v="108.699997"/>
    <n v="101.629997"/>
    <x v="4541"/>
    <n v="99.784012000000004"/>
    <n v="55162000"/>
  </r>
  <r>
    <x v="8227"/>
    <n v="103.660004"/>
    <n v="104.379997"/>
    <n v="100.110001"/>
    <x v="4542"/>
    <n v="99.668723999999997"/>
    <n v="65350900"/>
  </r>
  <r>
    <x v="8228"/>
    <n v="105.44000200000001"/>
    <n v="108.139999"/>
    <n v="105.389999"/>
    <x v="4543"/>
    <n v="102.628128"/>
    <n v="51062400"/>
  </r>
  <r>
    <x v="8229"/>
    <n v="107.050003"/>
    <n v="107.32"/>
    <n v="105.529999"/>
    <x v="4544"/>
    <n v="101.772972"/>
    <n v="33384200"/>
  </r>
  <r>
    <x v="8230"/>
    <n v="106.480003"/>
    <n v="107.32"/>
    <n v="104.980003"/>
    <x v="4528"/>
    <n v="102.003593"/>
    <n v="37680200"/>
  </r>
  <r>
    <x v="8231"/>
    <n v="106.370003"/>
    <n v="107.739998"/>
    <n v="105.900002"/>
    <x v="4545"/>
    <n v="103.300735"/>
    <n v="27922100"/>
  </r>
  <r>
    <x v="8232"/>
    <n v="107.379997"/>
    <n v="108.839996"/>
    <n v="106.279999"/>
    <x v="4546"/>
    <n v="103.50250200000001"/>
    <n v="24340200"/>
  </r>
  <r>
    <x v="8233"/>
    <n v="109.44000200000001"/>
    <n v="112.239998"/>
    <n v="109.400002"/>
    <x v="4547"/>
    <n v="107.576508"/>
    <n v="37901700"/>
  </r>
  <r>
    <x v="8234"/>
    <n v="111.800003"/>
    <n v="112.209999"/>
    <n v="110.910004"/>
    <x v="4548"/>
    <n v="107.374725"/>
    <n v="25644100"/>
  </r>
  <r>
    <x v="8235"/>
    <n v="110.849998"/>
    <n v="111.449997"/>
    <n v="108.760002"/>
    <x v="4530"/>
    <n v="105.280083"/>
    <n v="32039200"/>
  </r>
  <r>
    <x v="8236"/>
    <n v="109.41999800000001"/>
    <n v="109.959999"/>
    <n v="106.099998"/>
    <x v="4494"/>
    <n v="102.685799"/>
    <n v="33621800"/>
  </r>
  <r>
    <x v="8237"/>
    <n v="107.550003"/>
    <n v="108.739998"/>
    <n v="106.639999"/>
    <x v="4549"/>
    <n v="102.75305899999999"/>
    <n v="35374600"/>
  </r>
  <r>
    <x v="8238"/>
    <n v="108.099998"/>
    <n v="108.260002"/>
    <n v="104.470001"/>
    <x v="4550"/>
    <n v="101.295891"/>
    <n v="39495100"/>
  </r>
  <r>
    <x v="8239"/>
    <n v="104.989998"/>
    <n v="107.800003"/>
    <n v="103.910004"/>
    <x v="4551"/>
    <n v="103.525047"/>
    <n v="38505200"/>
  </r>
  <r>
    <x v="8240"/>
    <n v="107.08000199999999"/>
    <n v="108.879997"/>
    <n v="106.800003"/>
    <x v="4552"/>
    <n v="104.499702"/>
    <n v="33502100"/>
  </r>
  <r>
    <x v="8241"/>
    <n v="108.269997"/>
    <n v="108.55999799999999"/>
    <n v="103.550003"/>
    <x v="4553"/>
    <n v="100.958145"/>
    <n v="44773900"/>
  </r>
  <r>
    <x v="8242"/>
    <n v="101.800003"/>
    <n v="102.970001"/>
    <n v="99.349997999999999"/>
    <x v="4554"/>
    <n v="98.150008999999997"/>
    <n v="64052500"/>
  </r>
  <r>
    <x v="8243"/>
    <n v="103.599998"/>
    <n v="104.43"/>
    <n v="102.239998"/>
    <x v="4555"/>
    <n v="99.501007000000001"/>
    <n v="28130600"/>
  </r>
  <r>
    <x v="8244"/>
    <n v="102.16999800000001"/>
    <n v="103.80999799999999"/>
    <n v="102"/>
    <x v="4556"/>
    <n v="99.462401999999997"/>
    <n v="13823100"/>
  </r>
  <r>
    <x v="8245"/>
    <n v="104.790001"/>
    <n v="106.629997"/>
    <n v="104.58000199999999"/>
    <x v="4557"/>
    <n v="102.74340100000001"/>
    <n v="32336200"/>
  </r>
  <r>
    <x v="8246"/>
    <n v="106.269997"/>
    <n v="107.33000199999999"/>
    <n v="105.360001"/>
    <x v="4558"/>
    <n v="103.389954"/>
    <n v="29124500"/>
  </r>
  <r>
    <x v="8247"/>
    <n v="107.889999"/>
    <n v="111.33000199999999"/>
    <n v="107.860001"/>
    <x v="4559"/>
    <n v="107.23065200000001"/>
    <n v="46788500"/>
  </r>
  <r>
    <x v="8248"/>
    <n v="110.33000199999999"/>
    <n v="111.120003"/>
    <n v="109.029999"/>
    <x v="4560"/>
    <n v="106.33319899999999"/>
    <n v="28123200"/>
  </r>
  <r>
    <x v="8249"/>
    <n v="110.699997"/>
    <n v="110.970001"/>
    <n v="109.360001"/>
    <x v="4561"/>
    <n v="107.008675"/>
    <n v="33665600"/>
  </r>
  <r>
    <x v="8250"/>
    <n v="113"/>
    <n v="113.41999800000001"/>
    <n v="110.730003"/>
    <x v="4562"/>
    <n v="108.166679"/>
    <n v="34732800"/>
  </r>
  <r>
    <x v="8251"/>
    <n v="111.94000200000001"/>
    <n v="112.639999"/>
    <n v="108.209999"/>
    <x v="4563"/>
    <n v="104.72165699999999"/>
    <n v="45197000"/>
  </r>
  <r>
    <x v="8252"/>
    <n v="105.82"/>
    <n v="109.239998"/>
    <n v="105"/>
    <x v="4564"/>
    <n v="105.368202"/>
    <n v="49107400"/>
  </r>
  <r>
    <x v="8253"/>
    <n v="108.379997"/>
    <n v="109.449997"/>
    <n v="104.300003"/>
    <x v="4565"/>
    <n v="101.151146"/>
    <n v="45044900"/>
  </r>
  <r>
    <x v="8254"/>
    <n v="104.800003"/>
    <n v="107.980003"/>
    <n v="103.889999"/>
    <x v="4566"/>
    <n v="103.824196"/>
    <n v="40801500"/>
  </r>
  <r>
    <x v="8255"/>
    <n v="109.800003"/>
    <n v="110.949997"/>
    <n v="107.44000200000001"/>
    <x v="4567"/>
    <n v="104.789192"/>
    <n v="42381900"/>
  </r>
  <r>
    <x v="8256"/>
    <n v="110.889999"/>
    <n v="111.269997"/>
    <n v="109.040001"/>
    <x v="4568"/>
    <n v="105.262062"/>
    <n v="36183000"/>
  </r>
  <r>
    <x v="8257"/>
    <n v="109.58000199999999"/>
    <n v="110.870003"/>
    <n v="108.629997"/>
    <x v="4569"/>
    <n v="105.619095"/>
    <n v="31333400"/>
  </r>
  <r>
    <x v="8258"/>
    <n v="108.25"/>
    <n v="109.260002"/>
    <n v="105.5"/>
    <x v="4570"/>
    <n v="102.31881"/>
    <n v="47043100"/>
  </r>
  <r>
    <x v="8259"/>
    <n v="105.410004"/>
    <n v="105.800003"/>
    <n v="101.709999"/>
    <x v="4571"/>
    <n v="99.288712000000004"/>
    <n v="56957300"/>
  </r>
  <r>
    <x v="8260"/>
    <n v="103.75"/>
    <n v="104.510002"/>
    <n v="102.519997"/>
    <x v="4572"/>
    <n v="100.33091"/>
    <n v="49319200"/>
  </r>
  <r>
    <x v="8261"/>
    <n v="103.650002"/>
    <n v="106.879997"/>
    <n v="101.349998"/>
    <x v="4573"/>
    <n v="100.060715"/>
    <n v="68198200"/>
  </r>
  <r>
    <x v="8262"/>
    <n v="103.050003"/>
    <n v="104.30999799999999"/>
    <n v="98.779999000000004"/>
    <x v="4574"/>
    <n v="97.957015999999996"/>
    <n v="70334200"/>
  </r>
  <r>
    <x v="8263"/>
    <n v="101.629997"/>
    <n v="103"/>
    <n v="97.459998999999996"/>
    <x v="4575"/>
    <n v="94.791824000000005"/>
    <n v="111242100"/>
  </r>
  <r>
    <x v="8264"/>
    <n v="97.68"/>
    <n v="97.970000999999996"/>
    <n v="93.980002999999996"/>
    <x v="4576"/>
    <n v="90.835319999999996"/>
    <n v="43935200"/>
  </r>
  <r>
    <x v="8265"/>
    <n v="95.139999000000003"/>
    <n v="100.69000200000001"/>
    <n v="93.959998999999996"/>
    <x v="4577"/>
    <n v="97.040260000000004"/>
    <n v="51634800"/>
  </r>
  <r>
    <x v="8266"/>
    <n v="99.300003000000004"/>
    <n v="101.19000200000001"/>
    <n v="96.400002000000001"/>
    <x v="4578"/>
    <n v="97.638557000000006"/>
    <n v="49498500"/>
  </r>
  <r>
    <x v="8267"/>
    <n v="102.089996"/>
    <n v="102.410004"/>
    <n v="99.519997000000004"/>
    <x v="4579"/>
    <n v="96.876221000000001"/>
    <n v="38196300"/>
  </r>
  <r>
    <x v="8268"/>
    <n v="101.290001"/>
    <n v="102.400002"/>
    <n v="100.44000200000001"/>
    <x v="4580"/>
    <n v="98.014908000000005"/>
    <n v="33173800"/>
  </r>
  <r>
    <x v="8269"/>
    <n v="99.550003000000004"/>
    <n v="101.75"/>
    <n v="98.940002000000007"/>
    <x v="4581"/>
    <n v="97.580650000000006"/>
    <n v="35329300"/>
  </r>
  <r>
    <x v="8270"/>
    <n v="100.099998"/>
    <n v="100.19000200000001"/>
    <n v="97.199996999999996"/>
    <x v="4582"/>
    <n v="93.990859999999998"/>
    <n v="42579100"/>
  </r>
  <r>
    <x v="8271"/>
    <n v="99.720000999999996"/>
    <n v="102.510002"/>
    <n v="98.93"/>
    <x v="4583"/>
    <n v="98.362312000000003"/>
    <n v="44060600"/>
  </r>
  <r>
    <x v="8272"/>
    <n v="101.639999"/>
    <n v="103.269997"/>
    <n v="100.980003"/>
    <x v="4584"/>
    <n v="98.487740000000002"/>
    <n v="35656100"/>
  </r>
  <r>
    <x v="8273"/>
    <n v="103.040001"/>
    <n v="103.970001"/>
    <n v="101.709999"/>
    <x v="4585"/>
    <n v="99.201858999999999"/>
    <n v="31514400"/>
  </r>
  <r>
    <x v="8274"/>
    <n v="103.860001"/>
    <n v="104.879997"/>
    <n v="103.239998"/>
    <x v="4586"/>
    <n v="100.620392"/>
    <n v="32280800"/>
  </r>
  <r>
    <x v="8275"/>
    <n v="103.220001"/>
    <n v="103.75"/>
    <n v="102.379997"/>
    <x v="4587"/>
    <n v="99.973838999999998"/>
    <n v="30067600"/>
  </r>
  <r>
    <x v="8276"/>
    <n v="103.19000200000001"/>
    <n v="103.44000200000001"/>
    <n v="101.639999"/>
    <x v="4585"/>
    <n v="99.201858999999999"/>
    <n v="28314200"/>
  </r>
  <r>
    <x v="8277"/>
    <n v="101.900002"/>
    <n v="102.870003"/>
    <n v="101.260002"/>
    <x v="4588"/>
    <n v="98.478104000000002"/>
    <n v="28437100"/>
  </r>
  <r>
    <x v="8278"/>
    <n v="102.510002"/>
    <n v="105.050003"/>
    <n v="101.879997"/>
    <x v="4589"/>
    <n v="101.33448799999999"/>
    <n v="31587600"/>
  </r>
  <r>
    <x v="8279"/>
    <n v="105.260002"/>
    <n v="106.260002"/>
    <n v="104.959999"/>
    <x v="4590"/>
    <n v="101.691551"/>
    <n v="29853900"/>
  </r>
  <r>
    <x v="8280"/>
    <n v="105"/>
    <n v="106.629997"/>
    <n v="104.760002"/>
    <x v="4591"/>
    <n v="102.40567"/>
    <n v="28393000"/>
  </r>
  <r>
    <x v="8281"/>
    <n v="107.459999"/>
    <n v="107.900002"/>
    <n v="105.910004"/>
    <x v="4592"/>
    <n v="103.939995"/>
    <n v="37427600"/>
  </r>
  <r>
    <x v="8282"/>
    <n v="106.75"/>
    <n v="107.099998"/>
    <n v="104.860001"/>
    <x v="4593"/>
    <n v="101.981041"/>
    <n v="32371300"/>
  </r>
  <r>
    <x v="8283"/>
    <n v="106.120003"/>
    <n v="107.040001"/>
    <n v="105.339996"/>
    <x v="4594"/>
    <n v="102.974998"/>
    <n v="25874300"/>
  </r>
  <r>
    <x v="8284"/>
    <n v="106.860001"/>
    <n v="107"/>
    <n v="105.339996"/>
    <x v="4595"/>
    <n v="102.48284099999999"/>
    <n v="23164800"/>
  </r>
  <r>
    <x v="8285"/>
    <n v="107.239998"/>
    <n v="107.879997"/>
    <n v="106.199997"/>
    <x v="4596"/>
    <n v="103.418907"/>
    <n v="31225600"/>
  </r>
  <r>
    <x v="8286"/>
    <n v="106.260002"/>
    <n v="106.480003"/>
    <n v="104.660004"/>
    <x v="4597"/>
    <n v="101.40205400000001"/>
    <n v="29476700"/>
  </r>
  <r>
    <x v="8287"/>
    <n v="104.879997"/>
    <n v="104.970001"/>
    <n v="102.16999800000001"/>
    <x v="4598"/>
    <n v="99.336960000000005"/>
    <n v="31490500"/>
  </r>
  <r>
    <x v="8288"/>
    <n v="104.620003"/>
    <n v="106.379997"/>
    <n v="104.33000199999999"/>
    <x v="4599"/>
    <n v="102.656532"/>
    <n v="49471900"/>
  </r>
  <r>
    <x v="8289"/>
    <n v="103.800003"/>
    <n v="105.220001"/>
    <n v="103.18"/>
    <x v="4600"/>
    <n v="100.774818"/>
    <n v="55636400"/>
  </r>
  <r>
    <x v="8290"/>
    <n v="103.779999"/>
    <n v="104.099998"/>
    <n v="102.349998"/>
    <x v="4601"/>
    <n v="99.182563999999999"/>
    <n v="35535700"/>
  </r>
  <r>
    <x v="8291"/>
    <n v="102.870003"/>
    <n v="105.800003"/>
    <n v="102.769997"/>
    <x v="4602"/>
    <n v="102.038948"/>
    <n v="31315100"/>
  </r>
  <r>
    <x v="8292"/>
    <n v="106.05999799999999"/>
    <n v="107.269997"/>
    <n v="105.959999"/>
    <x v="4603"/>
    <n v="103.46715500000001"/>
    <n v="27325400"/>
  </r>
  <r>
    <x v="8293"/>
    <n v="107"/>
    <n v="107"/>
    <n v="105.529999"/>
    <x v="4570"/>
    <n v="102.31881"/>
    <n v="20609800"/>
  </r>
  <r>
    <x v="8294"/>
    <n v="105.19000200000001"/>
    <n v="105.589996"/>
    <n v="104.290001"/>
    <x v="4604"/>
    <n v="101.585396"/>
    <n v="29760700"/>
  </r>
  <r>
    <x v="8295"/>
    <n v="104.389999"/>
    <n v="105.779999"/>
    <n v="104.260002"/>
    <x v="4605"/>
    <n v="101.971413"/>
    <n v="21461100"/>
  </r>
  <r>
    <x v="8296"/>
    <n v="106.199997"/>
    <n v="106.58000199999999"/>
    <n v="104.970001"/>
    <x v="4606"/>
    <n v="101.566101"/>
    <n v="18914100"/>
  </r>
  <r>
    <x v="8297"/>
    <n v="106.139999"/>
    <n v="107.139999"/>
    <n v="105.480003"/>
    <x v="4607"/>
    <n v="103.148689"/>
    <n v="25056600"/>
  </r>
  <r>
    <x v="8298"/>
    <n v="107.5"/>
    <n v="107.779999"/>
    <n v="106.709999"/>
    <x v="4543"/>
    <n v="103.07150300000001"/>
    <n v="18394900"/>
  </r>
  <r>
    <x v="8299"/>
    <n v="106.30999799999999"/>
    <n v="107.290001"/>
    <n v="105.660004"/>
    <x v="4608"/>
    <n v="103.158356"/>
    <n v="21784700"/>
  </r>
  <r>
    <x v="8300"/>
    <n v="107.910004"/>
    <n v="108.300003"/>
    <n v="107.360001"/>
    <x v="4609"/>
    <n v="104.43214399999999"/>
    <n v="26606900"/>
  </r>
  <r>
    <x v="8301"/>
    <n v="107.790001"/>
    <n v="108.660004"/>
    <n v="107.779999"/>
    <x v="4610"/>
    <n v="104.38389599999999"/>
    <n v="18038500"/>
  </r>
  <r>
    <x v="8302"/>
    <n v="107.860001"/>
    <n v="107.94000200000001"/>
    <n v="106.290001"/>
    <x v="4611"/>
    <n v="103.84118700000001"/>
    <n v="21607700"/>
  </r>
  <r>
    <x v="8303"/>
    <n v="106.900002"/>
    <n v="109.480003"/>
    <n v="106.870003"/>
    <x v="4612"/>
    <n v="106.031395"/>
    <n v="29063200"/>
  </r>
  <r>
    <x v="8304"/>
    <n v="110.050003"/>
    <n v="111.199997"/>
    <n v="109.82"/>
    <x v="4613"/>
    <n v="107.543228"/>
    <n v="27763200"/>
  </r>
  <r>
    <x v="8305"/>
    <n v="111.760002"/>
    <n v="112.18"/>
    <n v="111.260002"/>
    <x v="4614"/>
    <n v="108.144066"/>
    <n v="23750600"/>
  </r>
  <r>
    <x v="8306"/>
    <n v="111.260002"/>
    <n v="113.239998"/>
    <n v="111.16999800000001"/>
    <x v="4615"/>
    <n v="108.89031199999999"/>
    <n v="21536700"/>
  </r>
  <r>
    <x v="8307"/>
    <n v="111.69000200000001"/>
    <n v="112.360001"/>
    <n v="110.879997"/>
    <x v="4616"/>
    <n v="108.70616099999999"/>
    <n v="21487100"/>
  </r>
  <r>
    <x v="8308"/>
    <n v="112.040001"/>
    <n v="112.879997"/>
    <n v="111.730003"/>
    <x v="4617"/>
    <n v="108.570503"/>
    <n v="29083900"/>
  </r>
  <r>
    <x v="8309"/>
    <n v="112.889999"/>
    <n v="113.019997"/>
    <n v="111.66999800000001"/>
    <x v="4618"/>
    <n v="109.055054"/>
    <n v="23501200"/>
  </r>
  <r>
    <x v="8310"/>
    <n v="113.019997"/>
    <n v="113.25"/>
    <n v="110.800003"/>
    <x v="4527"/>
    <n v="108.79338799999999"/>
    <n v="26608000"/>
  </r>
  <r>
    <x v="8311"/>
    <n v="112.25"/>
    <n v="112.389999"/>
    <n v="111.230003"/>
    <x v="4513"/>
    <n v="108.250694"/>
    <n v="19538300"/>
  </r>
  <r>
    <x v="8312"/>
    <n v="111.870003"/>
    <n v="112.660004"/>
    <n v="111.43"/>
    <x v="4548"/>
    <n v="108.29914100000001"/>
    <n v="17687000"/>
  </r>
  <r>
    <x v="8313"/>
    <n v="111.400002"/>
    <n v="111.550003"/>
    <n v="109.870003"/>
    <x v="4619"/>
    <n v="106.981133"/>
    <n v="25339000"/>
  </r>
  <r>
    <x v="8314"/>
    <n v="109.160004"/>
    <n v="110.709999"/>
    <n v="108.800003"/>
    <x v="4620"/>
    <n v="107.097427"/>
    <n v="22818400"/>
  </r>
  <r>
    <x v="8315"/>
    <n v="110.989998"/>
    <n v="112.949997"/>
    <n v="110.980003"/>
    <x v="4621"/>
    <n v="109.345787"/>
    <n v="26491600"/>
  </r>
  <r>
    <x v="8316"/>
    <n v="112.82"/>
    <n v="113.989998"/>
    <n v="112.650002"/>
    <x v="4622"/>
    <n v="110.111397"/>
    <n v="26132700"/>
  </r>
  <r>
    <x v="8317"/>
    <n v="114.129997"/>
    <n v="115"/>
    <n v="113.779999"/>
    <x v="4623"/>
    <n v="110.96421100000001"/>
    <n v="35513800"/>
  </r>
  <r>
    <x v="8318"/>
    <n v="114.540001"/>
    <n v="115.199997"/>
    <n v="114.33000199999999"/>
    <x v="4624"/>
    <n v="111.05143700000001"/>
    <n v="30763400"/>
  </r>
  <r>
    <x v="8319"/>
    <n v="115.339996"/>
    <n v="117.25"/>
    <n v="114.589996"/>
    <x v="4625"/>
    <n v="112.330696"/>
    <n v="54681100"/>
  </r>
  <r>
    <x v="8320"/>
    <n v="116.16999800000001"/>
    <n v="117.610001"/>
    <n v="116.050003"/>
    <x v="4626"/>
    <n v="113.939407"/>
    <n v="31207600"/>
  </r>
  <r>
    <x v="8321"/>
    <n v="118.089996"/>
    <n v="118.44000200000001"/>
    <n v="116.989998"/>
    <x v="4627"/>
    <n v="114.016953"/>
    <n v="37588700"/>
  </r>
  <r>
    <x v="8322"/>
    <n v="117.389999"/>
    <n v="118.75"/>
    <n v="116.709999"/>
    <x v="4628"/>
    <n v="113.890961"/>
    <n v="28113300"/>
  </r>
  <r>
    <x v="8323"/>
    <n v="117.139999"/>
    <n v="120.82"/>
    <n v="117.089996"/>
    <x v="4629"/>
    <n v="116.50758399999999"/>
    <n v="29854400"/>
  </r>
  <r>
    <x v="8324"/>
    <n v="119.5"/>
    <n v="119.589996"/>
    <n v="117.040001"/>
    <x v="4630"/>
    <n v="113.43547100000001"/>
    <n v="33624500"/>
  </r>
  <r>
    <x v="8325"/>
    <n v="116.55999799999999"/>
    <n v="118.010002"/>
    <n v="116.32"/>
    <x v="4631"/>
    <n v="114.026642"/>
    <n v="27067100"/>
  </r>
  <r>
    <x v="8326"/>
    <n v="118.620003"/>
    <n v="118.709999"/>
    <n v="116.849998"/>
    <x v="4632"/>
    <n v="114.268929"/>
    <n v="26097700"/>
  </r>
  <r>
    <x v="8327"/>
    <n v="117.879997"/>
    <n v="118.209999"/>
    <n v="115.519997"/>
    <x v="4633"/>
    <n v="113.164124"/>
    <n v="22733400"/>
  </r>
  <r>
    <x v="8328"/>
    <n v="117.44000200000001"/>
    <n v="117.58000199999999"/>
    <n v="116.129997"/>
    <x v="4634"/>
    <n v="113.319199"/>
    <n v="18334800"/>
  </r>
  <r>
    <x v="8329"/>
    <n v="118.07"/>
    <n v="118.32"/>
    <n v="116.959999"/>
    <x v="4635"/>
    <n v="114.297997"/>
    <n v="25399800"/>
  </r>
  <r>
    <x v="8330"/>
    <n v="118.949997"/>
    <n v="119.110001"/>
    <n v="118.099998"/>
    <x v="4636"/>
    <n v="115.344627"/>
    <n v="22789100"/>
  </r>
  <r>
    <x v="8331"/>
    <n v="119.05999799999999"/>
    <n v="119.480003"/>
    <n v="118.519997"/>
    <x v="4637"/>
    <n v="115.509399"/>
    <n v="18142300"/>
  </r>
  <r>
    <x v="8332"/>
    <n v="119.860001"/>
    <n v="120.43"/>
    <n v="119.150002"/>
    <x v="4638"/>
    <n v="116.265305"/>
    <n v="22860700"/>
  </r>
  <r>
    <x v="8333"/>
    <n v="120.099998"/>
    <n v="120.230003"/>
    <n v="118.379997"/>
    <x v="4639"/>
    <n v="115.67414100000001"/>
    <n v="20112800"/>
  </r>
  <r>
    <x v="8334"/>
    <n v="119.389999"/>
    <n v="120.230003"/>
    <n v="119.370003"/>
    <x v="4640"/>
    <n v="116.187775"/>
    <n v="15826200"/>
  </r>
  <r>
    <x v="8335"/>
    <n v="119.80999799999999"/>
    <n v="120.019997"/>
    <n v="118.639999"/>
    <x v="4641"/>
    <n v="116.22654"/>
    <n v="15116200"/>
  </r>
  <r>
    <x v="8336"/>
    <n v="118.629997"/>
    <n v="119.540001"/>
    <n v="118.58000199999999"/>
    <x v="4642"/>
    <n v="115.596603"/>
    <n v="17612000"/>
  </r>
  <r>
    <x v="8337"/>
    <n v="119.760002"/>
    <n v="120.349998"/>
    <n v="119.540001"/>
    <x v="4643"/>
    <n v="116.4785"/>
    <n v="16477200"/>
  </r>
  <r>
    <x v="8338"/>
    <n v="120.540001"/>
    <n v="120.849998"/>
    <n v="119.91999800000001"/>
    <x v="4644"/>
    <n v="116.614189"/>
    <n v="14209100"/>
  </r>
  <r>
    <x v="8339"/>
    <n v="120.639999"/>
    <n v="120.980003"/>
    <n v="120.370003"/>
    <x v="4645"/>
    <n v="117.215034"/>
    <n v="19745100"/>
  </r>
  <r>
    <x v="8340"/>
    <n v="120.94000200000001"/>
    <n v="121.58000199999999"/>
    <n v="120.57"/>
    <x v="4646"/>
    <n v="117.311958"/>
    <n v="15792600"/>
  </r>
  <r>
    <x v="8341"/>
    <n v="121.639999"/>
    <n v="121.650002"/>
    <n v="120.099998"/>
    <x v="4647"/>
    <n v="117.040611"/>
    <n v="14071800"/>
  </r>
  <r>
    <x v="8342"/>
    <n v="121.239998"/>
    <n v="121.849998"/>
    <n v="120.540001"/>
    <x v="4648"/>
    <n v="118.00972"/>
    <n v="19300900"/>
  </r>
  <r>
    <x v="8343"/>
    <n v="122.19000200000001"/>
    <n v="123.519997"/>
    <n v="121.300003"/>
    <x v="4649"/>
    <n v="119.560303"/>
    <n v="27991000"/>
  </r>
  <r>
    <x v="8344"/>
    <n v="122.620003"/>
    <n v="124"/>
    <n v="122.57"/>
    <x v="4650"/>
    <n v="119.938271"/>
    <n v="15648700"/>
  </r>
  <r>
    <x v="8345"/>
    <n v="124.099998"/>
    <n v="125.58000199999999"/>
    <n v="123.83000199999999"/>
    <x v="4651"/>
    <n v="121.56637600000001"/>
    <n v="24025500"/>
  </r>
  <r>
    <x v="8346"/>
    <n v="125.790001"/>
    <n v="125.849998"/>
    <n v="124.519997"/>
    <x v="4652"/>
    <n v="121.14967300000001"/>
    <n v="31257000"/>
  </r>
  <r>
    <x v="8347"/>
    <n v="130.05999800000001"/>
    <n v="131.36999499999999"/>
    <n v="128.83000200000001"/>
    <x v="4653"/>
    <n v="125.16181899999999"/>
    <n v="38033900"/>
  </r>
  <r>
    <x v="8348"/>
    <n v="129.699997"/>
    <n v="130.520004"/>
    <n v="129.020004"/>
    <x v="4654"/>
    <n v="125.878975"/>
    <n v="23654900"/>
  </r>
  <r>
    <x v="8349"/>
    <n v="129.89999399999999"/>
    <n v="130.179993"/>
    <n v="129.35000600000001"/>
    <x v="4655"/>
    <n v="125.76267199999999"/>
    <n v="16324200"/>
  </r>
  <r>
    <x v="8350"/>
    <n v="129.80999800000001"/>
    <n v="130.699997"/>
    <n v="129.38999899999999"/>
    <x v="4656"/>
    <n v="126.56706200000001"/>
    <n v="24166500"/>
  </r>
  <r>
    <x v="8351"/>
    <n v="130.529999"/>
    <n v="130.64999399999999"/>
    <n v="127.699997"/>
    <x v="4657"/>
    <n v="123.93104599999999"/>
    <n v="26821700"/>
  </r>
  <r>
    <x v="8352"/>
    <n v="127.980003"/>
    <n v="128"/>
    <n v="125.519997"/>
    <x v="4658"/>
    <n v="122.312614"/>
    <n v="27350200"/>
  </r>
  <r>
    <x v="8353"/>
    <n v="127.360001"/>
    <n v="129.429993"/>
    <n v="127.25"/>
    <x v="4659"/>
    <n v="124.91952499999999"/>
    <n v="24911100"/>
  </r>
  <r>
    <x v="8354"/>
    <n v="126.389999"/>
    <n v="128.55999800000001"/>
    <n v="126.110001"/>
    <x v="4660"/>
    <n v="124.19270299999999"/>
    <n v="24239800"/>
  </r>
  <r>
    <x v="8355"/>
    <n v="126.459999"/>
    <n v="127.18"/>
    <n v="124.220001"/>
    <x v="4661"/>
    <n v="121.643913"/>
    <n v="36017700"/>
  </r>
  <r>
    <x v="8356"/>
    <n v="125.44000200000001"/>
    <n v="126.370003"/>
    <n v="124.75"/>
    <x v="4662"/>
    <n v="121.63423899999999"/>
    <n v="28419000"/>
  </r>
  <r>
    <x v="8357"/>
    <n v="124.290001"/>
    <n v="125.790001"/>
    <n v="123.57"/>
    <x v="4663"/>
    <n v="121.62453499999999"/>
    <n v="27235800"/>
  </r>
  <r>
    <x v="8358"/>
    <n v="124.910004"/>
    <n v="127.93"/>
    <n v="123.82"/>
    <x v="4664"/>
    <n v="123.204193"/>
    <n v="30915100"/>
  </r>
  <r>
    <x v="8359"/>
    <n v="124.110001"/>
    <n v="125.550003"/>
    <n v="123.040001"/>
    <x v="4665"/>
    <n v="119.540932"/>
    <n v="33944900"/>
  </r>
  <r>
    <x v="8360"/>
    <n v="123.870003"/>
    <n v="125.879997"/>
    <n v="123.699997"/>
    <x v="4666"/>
    <n v="120.878319"/>
    <n v="25266300"/>
  </r>
  <r>
    <x v="8361"/>
    <n v="124.260002"/>
    <n v="126.709999"/>
    <n v="123.699997"/>
    <x v="4667"/>
    <n v="122.580551"/>
    <n v="24722700"/>
  </r>
  <r>
    <x v="8362"/>
    <n v="126.75"/>
    <n v="129.38000500000001"/>
    <n v="126.459999"/>
    <x v="4668"/>
    <n v="125.41113300000001"/>
    <n v="30112200"/>
  </r>
  <r>
    <x v="8363"/>
    <n v="128.30999800000001"/>
    <n v="130.46000699999999"/>
    <n v="127.91999800000001"/>
    <x v="4669"/>
    <n v="124.57461499999999"/>
    <n v="25770500"/>
  </r>
  <r>
    <x v="8364"/>
    <n v="126.519997"/>
    <n v="127.589996"/>
    <n v="125.760002"/>
    <x v="4670"/>
    <n v="122.77510100000001"/>
    <n v="23706900"/>
  </r>
  <r>
    <x v="8365"/>
    <n v="127.43"/>
    <n v="127.529999"/>
    <n v="126.58000199999999"/>
    <x v="4671"/>
    <n v="123.436539"/>
    <n v="15293300"/>
  </r>
  <r>
    <x v="8366"/>
    <n v="126.620003"/>
    <n v="128.240005"/>
    <n v="126.519997"/>
    <x v="4672"/>
    <n v="124.18551600000001"/>
    <n v="15396500"/>
  </r>
  <r>
    <x v="8367"/>
    <n v="126.199997"/>
    <n v="126.290001"/>
    <n v="124.739998"/>
    <x v="4673"/>
    <n v="122.73619100000001"/>
    <n v="23603800"/>
  </r>
  <r>
    <x v="8368"/>
    <n v="126.910004"/>
    <n v="127.41999800000001"/>
    <n v="125.970001"/>
    <x v="4674"/>
    <n v="122.794556"/>
    <n v="14123400"/>
  </r>
  <r>
    <x v="8369"/>
    <n v="126.980003"/>
    <n v="128"/>
    <n v="126.050003"/>
    <x v="4675"/>
    <n v="122.71674299999999"/>
    <n v="23128400"/>
  </r>
  <r>
    <x v="8370"/>
    <n v="125.379997"/>
    <n v="125.389999"/>
    <n v="124.040001"/>
    <x v="4676"/>
    <n v="121.530022"/>
    <n v="22763100"/>
  </r>
  <r>
    <x v="8371"/>
    <n v="125.260002"/>
    <n v="125.760002"/>
    <n v="124.779999"/>
    <x v="4677"/>
    <n v="122.29846999999999"/>
    <n v="16829600"/>
  </r>
  <r>
    <x v="8372"/>
    <n v="124.230003"/>
    <n v="124.620003"/>
    <n v="123.32"/>
    <x v="4678"/>
    <n v="120.304413"/>
    <n v="26646800"/>
  </r>
  <r>
    <x v="8373"/>
    <n v="123.849998"/>
    <n v="124.370003"/>
    <n v="119.010002"/>
    <x v="4679"/>
    <n v="116.569221"/>
    <n v="37983600"/>
  </r>
  <r>
    <x v="8374"/>
    <n v="121.279999"/>
    <n v="123.279999"/>
    <n v="120.650002"/>
    <x v="4680"/>
    <n v="119.79862199999999"/>
    <n v="29382600"/>
  </r>
  <r>
    <x v="8375"/>
    <n v="124.949997"/>
    <n v="125.870003"/>
    <n v="124.209999"/>
    <x v="4681"/>
    <n v="122.395737"/>
    <n v="24926100"/>
  </r>
  <r>
    <x v="8376"/>
    <n v="126.44000200000001"/>
    <n v="127.970001"/>
    <n v="125.599998"/>
    <x v="4682"/>
    <n v="124.33142100000001"/>
    <n v="21459000"/>
  </r>
  <r>
    <x v="8377"/>
    <n v="129.19000199999999"/>
    <n v="132.25"/>
    <n v="128.259995"/>
    <x v="4683"/>
    <n v="127.813698"/>
    <n v="33885600"/>
  </r>
  <r>
    <x v="8378"/>
    <n v="132.39999399999999"/>
    <n v="134.08000200000001"/>
    <n v="132"/>
    <x v="4684"/>
    <n v="128.98097200000001"/>
    <n v="26477100"/>
  </r>
  <r>
    <x v="8379"/>
    <n v="133.88000500000001"/>
    <n v="134.240005"/>
    <n v="131.279999"/>
    <x v="4685"/>
    <n v="128.49464399999999"/>
    <n v="23913700"/>
  </r>
  <r>
    <x v="8380"/>
    <n v="131.39999399999999"/>
    <n v="131.970001"/>
    <n v="130.71000699999999"/>
    <x v="4686"/>
    <n v="127.901253"/>
    <n v="17092500"/>
  </r>
  <r>
    <x v="8381"/>
    <n v="131.979996"/>
    <n v="133"/>
    <n v="131.55999800000001"/>
    <x v="4687"/>
    <n v="128.70863299999999"/>
    <n v="17200800"/>
  </r>
  <r>
    <x v="8382"/>
    <n v="132.259995"/>
    <n v="133.78999300000001"/>
    <n v="131.63999899999999"/>
    <x v="4688"/>
    <n v="128.83502200000001"/>
    <n v="17821700"/>
  </r>
  <r>
    <x v="8383"/>
    <n v="132.63000500000001"/>
    <n v="133.729996"/>
    <n v="132.529999"/>
    <x v="4689"/>
    <n v="129.22413599999999"/>
    <n v="14517800"/>
  </r>
  <r>
    <x v="8384"/>
    <n v="134.19000199999999"/>
    <n v="135.240005"/>
    <n v="133.570007"/>
    <x v="4690"/>
    <n v="131.47110000000001"/>
    <n v="25934500"/>
  </r>
  <r>
    <x v="8385"/>
    <n v="135"/>
    <n v="135.929993"/>
    <n v="133.80999800000001"/>
    <x v="4691"/>
    <n v="131.986649"/>
    <n v="23744400"/>
  </r>
  <r>
    <x v="8386"/>
    <n v="137.449997"/>
    <n v="137.66000399999999"/>
    <n v="135.720001"/>
    <x v="4692"/>
    <n v="133.212234"/>
    <n v="33042600"/>
  </r>
  <r>
    <x v="8387"/>
    <n v="136.58000200000001"/>
    <n v="137.729996"/>
    <n v="136.46000699999999"/>
    <x v="4693"/>
    <n v="133.231674"/>
    <n v="36727900"/>
  </r>
  <r>
    <x v="8388"/>
    <n v="137"/>
    <n v="138.39999399999999"/>
    <n v="137"/>
    <x v="4694"/>
    <n v="134.01959199999999"/>
    <n v="20628800"/>
  </r>
  <r>
    <x v="8389"/>
    <n v="137.25"/>
    <n v="137.58999600000001"/>
    <n v="132.729996"/>
    <x v="4695"/>
    <n v="129.788284"/>
    <n v="33327400"/>
  </r>
  <r>
    <x v="8390"/>
    <n v="134.35000600000001"/>
    <n v="135.740005"/>
    <n v="133.60000600000001"/>
    <x v="4696"/>
    <n v="130.27465799999999"/>
    <n v="23657700"/>
  </r>
  <r>
    <x v="8391"/>
    <n v="134.13999899999999"/>
    <n v="134.71000699999999"/>
    <n v="133.509995"/>
    <x v="4697"/>
    <n v="130.488663"/>
    <n v="16557500"/>
  </r>
  <r>
    <x v="8392"/>
    <n v="134.570007"/>
    <n v="134.60000600000001"/>
    <n v="133.16000399999999"/>
    <x v="4698"/>
    <n v="130.303864"/>
    <n v="30043000"/>
  </r>
  <r>
    <x v="8393"/>
    <n v="136.63000500000001"/>
    <n v="136.699997"/>
    <n v="134.970001"/>
    <x v="4699"/>
    <n v="131.97688299999999"/>
    <n v="22613500"/>
  </r>
  <r>
    <x v="8394"/>
    <n v="136.11999499999999"/>
    <n v="136.58999600000001"/>
    <n v="135.33999600000001"/>
    <x v="4700"/>
    <n v="132.852341"/>
    <n v="15237800"/>
  </r>
  <r>
    <x v="8395"/>
    <n v="136.800003"/>
    <n v="137.740005"/>
    <n v="136.28999300000001"/>
    <x v="4701"/>
    <n v="133.70832799999999"/>
    <n v="13629300"/>
  </r>
  <r>
    <x v="8396"/>
    <n v="135.94000199999999"/>
    <n v="137.33000200000001"/>
    <n v="135.720001"/>
    <x v="4702"/>
    <n v="133.31922900000001"/>
    <n v="18141100"/>
  </r>
  <r>
    <x v="8397"/>
    <n v="136.39999399999999"/>
    <n v="137.10000600000001"/>
    <n v="135.36999499999999"/>
    <x v="4703"/>
    <n v="133.22200000000001"/>
    <n v="16779700"/>
  </r>
  <r>
    <x v="8398"/>
    <n v="136"/>
    <n v="136.970001"/>
    <n v="135.800003"/>
    <x v="4704"/>
    <n v="132.735657"/>
    <n v="19953100"/>
  </r>
  <r>
    <x v="8399"/>
    <n v="137.13000500000001"/>
    <n v="138.58000200000001"/>
    <n v="137.020004"/>
    <x v="4705"/>
    <n v="134.08770799999999"/>
    <n v="24204400"/>
  </r>
  <r>
    <x v="8400"/>
    <n v="138.199997"/>
    <n v="139.220001"/>
    <n v="137.86999499999999"/>
    <x v="4706"/>
    <n v="134.62264999999999"/>
    <n v="22327900"/>
  </r>
  <r>
    <x v="8401"/>
    <n v="138.85000600000001"/>
    <n v="139.13000500000001"/>
    <n v="138.009995"/>
    <x v="4707"/>
    <n v="135.108994"/>
    <n v="18936800"/>
  </r>
  <r>
    <x v="8402"/>
    <n v="139.44000199999999"/>
    <n v="139.53999300000001"/>
    <n v="138.46000699999999"/>
    <x v="4707"/>
    <n v="135.108994"/>
    <n v="16651500"/>
  </r>
  <r>
    <x v="8403"/>
    <n v="138.96000699999999"/>
    <n v="139.050003"/>
    <n v="136.520004"/>
    <x v="4708"/>
    <n v="133.33869899999999"/>
    <n v="22726100"/>
  </r>
  <r>
    <x v="8404"/>
    <n v="137.699997"/>
    <n v="137.929993"/>
    <n v="136.220001"/>
    <x v="4709"/>
    <n v="132.55081200000001"/>
    <n v="20211000"/>
  </r>
  <r>
    <x v="8405"/>
    <n v="135.550003"/>
    <n v="136.61999499999999"/>
    <n v="134.66999799999999"/>
    <x v="4710"/>
    <n v="132.69671600000001"/>
    <n v="30381800"/>
  </r>
  <r>
    <x v="8406"/>
    <n v="140.220001"/>
    <n v="140.66999799999999"/>
    <n v="136.449997"/>
    <x v="4711"/>
    <n v="132.89120500000001"/>
    <n v="48992400"/>
  </r>
  <r>
    <x v="8407"/>
    <n v="137.41000399999999"/>
    <n v="139.19000199999999"/>
    <n v="137.33000200000001"/>
    <x v="4712"/>
    <n v="134.65183999999999"/>
    <n v="25074900"/>
  </r>
  <r>
    <x v="8408"/>
    <n v="139.759995"/>
    <n v="139.990005"/>
    <n v="138.029999"/>
    <x v="4713"/>
    <n v="135.488373"/>
    <n v="18034600"/>
  </r>
  <r>
    <x v="8409"/>
    <n v="138.89999399999999"/>
    <n v="140.740005"/>
    <n v="138.85000600000001"/>
    <x v="4714"/>
    <n v="136.87936400000001"/>
    <n v="20738300"/>
  </r>
  <r>
    <x v="8410"/>
    <n v="140.429993"/>
    <n v="140.61000100000001"/>
    <n v="139.320007"/>
    <x v="4715"/>
    <n v="136.363831"/>
    <n v="18356900"/>
  </r>
  <r>
    <x v="8411"/>
    <n v="140.36999499999999"/>
    <n v="141.679993"/>
    <n v="140.300003"/>
    <x v="4716"/>
    <n v="137.48242200000001"/>
    <n v="19037600"/>
  </r>
  <r>
    <x v="8412"/>
    <n v="141.5"/>
    <n v="141.509995"/>
    <n v="139.36999499999999"/>
    <x v="4717"/>
    <n v="137.18090799999999"/>
    <n v="16605900"/>
  </r>
  <r>
    <x v="8413"/>
    <n v="140.13999899999999"/>
    <n v="141.220001"/>
    <n v="139.800003"/>
    <x v="4718"/>
    <n v="136.51947000000001"/>
    <n v="16846500"/>
  </r>
  <r>
    <x v="8414"/>
    <n v="140.33000200000001"/>
    <n v="140.490005"/>
    <n v="135.08000200000001"/>
    <x v="4709"/>
    <n v="132.55081200000001"/>
    <n v="38598800"/>
  </r>
  <r>
    <x v="8415"/>
    <n v="137"/>
    <n v="140.94000199999999"/>
    <n v="136.929993"/>
    <x v="4719"/>
    <n v="134.29193100000001"/>
    <n v="40557500"/>
  </r>
  <r>
    <x v="8416"/>
    <n v="138.08999600000001"/>
    <n v="138.320007"/>
    <n v="135.259995"/>
    <x v="4720"/>
    <n v="133.16360499999999"/>
    <n v="30791600"/>
  </r>
  <r>
    <x v="8417"/>
    <n v="133.300003"/>
    <n v="133.929993"/>
    <n v="130.779999"/>
    <x v="4721"/>
    <n v="128.60162399999999"/>
    <n v="42749600"/>
  </r>
  <r>
    <x v="8418"/>
    <n v="133.800003"/>
    <n v="135.679993"/>
    <n v="133.21000699999999"/>
    <x v="4722"/>
    <n v="131.01391599999999"/>
    <n v="32696700"/>
  </r>
  <r>
    <x v="8419"/>
    <n v="133.78999300000001"/>
    <n v="135.64999399999999"/>
    <n v="131.83000200000001"/>
    <x v="4723"/>
    <n v="131.58783"/>
    <n v="33414500"/>
  </r>
  <r>
    <x v="8420"/>
    <n v="136.60000600000001"/>
    <n v="138.990005"/>
    <n v="135.929993"/>
    <x v="4724"/>
    <n v="135.09927400000001"/>
    <n v="27496500"/>
  </r>
  <r>
    <x v="8421"/>
    <n v="138.61000100000001"/>
    <n v="139.38000500000001"/>
    <n v="136.46000699999999"/>
    <x v="4725"/>
    <n v="133.95150799999999"/>
    <n v="23466700"/>
  </r>
  <r>
    <x v="8422"/>
    <n v="137.070007"/>
    <n v="137.86000100000001"/>
    <n v="135.240005"/>
    <x v="4726"/>
    <n v="132.08390800000001"/>
    <n v="20484300"/>
  </r>
  <r>
    <x v="8423"/>
    <n v="136.050003"/>
    <n v="138.800003"/>
    <n v="135"/>
    <x v="4727"/>
    <n v="134.81723"/>
    <n v="25154600"/>
  </r>
  <r>
    <x v="8424"/>
    <n v="136.36000100000001"/>
    <n v="136.91999799999999"/>
    <n v="133.66999799999999"/>
    <x v="4728"/>
    <n v="130.757248"/>
    <n v="32527300"/>
  </r>
  <r>
    <x v="8425"/>
    <n v="134.38999899999999"/>
    <n v="134.58000200000001"/>
    <n v="132.25"/>
    <x v="4729"/>
    <n v="130.464508"/>
    <n v="28074400"/>
  </r>
  <r>
    <x v="8426"/>
    <n v="134.88000500000001"/>
    <n v="136.46000699999999"/>
    <n v="134.720001"/>
    <x v="4730"/>
    <n v="132.85556"/>
    <n v="24449100"/>
  </r>
  <r>
    <x v="8427"/>
    <n v="137.85000600000001"/>
    <n v="138.550003"/>
    <n v="136.88999899999999"/>
    <x v="4731"/>
    <n v="135.080704"/>
    <n v="24355700"/>
  </r>
  <r>
    <x v="8428"/>
    <n v="138.21000699999999"/>
    <n v="138.71000699999999"/>
    <n v="137.240005"/>
    <x v="4732"/>
    <n v="133.95837399999999"/>
    <n v="21170800"/>
  </r>
  <r>
    <x v="8429"/>
    <n v="138.550003"/>
    <n v="139.490005"/>
    <n v="138"/>
    <x v="4733"/>
    <n v="135.45159899999999"/>
    <n v="14970300"/>
  </r>
  <r>
    <x v="8430"/>
    <n v="138.66000399999999"/>
    <n v="139.199997"/>
    <n v="136.28999300000001"/>
    <x v="4694"/>
    <n v="134.46586600000001"/>
    <n v="18697000"/>
  </r>
  <r>
    <x v="8431"/>
    <n v="137.19000199999999"/>
    <n v="138.35000600000001"/>
    <n v="132.800003"/>
    <x v="4734"/>
    <n v="130.18145799999999"/>
    <n v="38508600"/>
  </r>
  <r>
    <x v="8432"/>
    <n v="134.990005"/>
    <n v="135.55999800000001"/>
    <n v="133.89999399999999"/>
    <x v="4735"/>
    <n v="132.19189499999999"/>
    <n v="20312600"/>
  </r>
  <r>
    <x v="8433"/>
    <n v="136.38999899999999"/>
    <n v="136.720001"/>
    <n v="134.66000399999999"/>
    <x v="4736"/>
    <n v="132.47494499999999"/>
    <n v="23102100"/>
  </r>
  <r>
    <x v="8434"/>
    <n v="134.88000500000001"/>
    <n v="135.759995"/>
    <n v="133.550003"/>
    <x v="4737"/>
    <n v="132.299271"/>
    <n v="17393300"/>
  </r>
  <r>
    <x v="8435"/>
    <n v="137.25"/>
    <n v="138.44000199999999"/>
    <n v="136.91000399999999"/>
    <x v="4738"/>
    <n v="134.79766799999999"/>
    <n v="20168700"/>
  </r>
  <r>
    <x v="8436"/>
    <n v="139.14999399999999"/>
    <n v="139.179993"/>
    <n v="136.270004"/>
    <x v="4739"/>
    <n v="134.54394500000001"/>
    <n v="23940100"/>
  </r>
  <r>
    <x v="8437"/>
    <n v="136.61000100000001"/>
    <n v="137.199997"/>
    <n v="135.699997"/>
    <x v="4740"/>
    <n v="132.767731"/>
    <n v="18869300"/>
  </r>
  <r>
    <x v="8438"/>
    <n v="137.300003"/>
    <n v="137.69000199999999"/>
    <n v="136.479996"/>
    <x v="4741"/>
    <n v="134.319458"/>
    <n v="17995900"/>
  </r>
  <r>
    <x v="8439"/>
    <n v="139.11000100000001"/>
    <n v="140.38000500000001"/>
    <n v="138.759995"/>
    <x v="4742"/>
    <n v="136.68128999999999"/>
    <n v="26101800"/>
  </r>
  <r>
    <x v="8440"/>
    <n v="140.029999"/>
    <n v="140.179993"/>
    <n v="138.199997"/>
    <x v="4743"/>
    <n v="135.75413499999999"/>
    <n v="20824500"/>
  </r>
  <r>
    <x v="8441"/>
    <n v="139.58999600000001"/>
    <n v="139.75"/>
    <n v="136.46000699999999"/>
    <x v="4744"/>
    <n v="134.21212800000001"/>
    <n v="25773900"/>
  </r>
  <r>
    <x v="8442"/>
    <n v="136.800003"/>
    <n v="136.88999899999999"/>
    <n v="134.509995"/>
    <x v="4745"/>
    <n v="132.80677800000001"/>
    <n v="28903400"/>
  </r>
  <r>
    <x v="8443"/>
    <n v="135.91000399999999"/>
    <n v="136.270004"/>
    <n v="135.08999600000001"/>
    <x v="4746"/>
    <n v="132.84577899999999"/>
    <n v="24726100"/>
  </r>
  <r>
    <x v="8444"/>
    <n v="137.85000600000001"/>
    <n v="138.41999799999999"/>
    <n v="136.86999499999999"/>
    <x v="4744"/>
    <n v="134.21212800000001"/>
    <n v="27010000"/>
  </r>
  <r>
    <x v="8445"/>
    <n v="137.779999"/>
    <n v="138.05999800000001"/>
    <n v="136.570007"/>
    <x v="4747"/>
    <n v="134.01692199999999"/>
    <n v="23363100"/>
  </r>
  <r>
    <x v="8446"/>
    <n v="135.83000200000001"/>
    <n v="136.699997"/>
    <n v="135.66000399999999"/>
    <x v="4748"/>
    <n v="133.05076600000001"/>
    <n v="16731400"/>
  </r>
  <r>
    <x v="8447"/>
    <n v="136.96000699999999"/>
    <n v="137.520004"/>
    <n v="136.429993"/>
    <x v="4749"/>
    <n v="134.085251"/>
    <n v="17814200"/>
  </r>
  <r>
    <x v="8448"/>
    <n v="137.36000100000001"/>
    <n v="138.66999799999999"/>
    <n v="136.529999"/>
    <x v="4750"/>
    <n v="135.18806499999999"/>
    <n v="23982100"/>
  </r>
  <r>
    <x v="8449"/>
    <n v="140.300003"/>
    <n v="142.36999499999999"/>
    <n v="140.070007"/>
    <x v="4751"/>
    <n v="137.67674299999999"/>
    <n v="35772100"/>
  </r>
  <r>
    <x v="8450"/>
    <n v="141.009995"/>
    <n v="141.64999399999999"/>
    <n v="138.25"/>
    <x v="4752"/>
    <n v="136.085938"/>
    <n v="39167300"/>
  </r>
  <r>
    <x v="8451"/>
    <n v="139.229996"/>
    <n v="139.63000500000001"/>
    <n v="138.44000199999999"/>
    <x v="4753"/>
    <n v="135.793182"/>
    <n v="17139300"/>
  </r>
  <r>
    <x v="8452"/>
    <n v="140.36000100000001"/>
    <n v="140.69000199999999"/>
    <n v="136.88000500000001"/>
    <x v="4754"/>
    <n v="134.07548499999999"/>
    <n v="29773200"/>
  </r>
  <r>
    <x v="8453"/>
    <n v="137.5"/>
    <n v="139.96000699999999"/>
    <n v="136.029999"/>
    <x v="4755"/>
    <n v="136.007858"/>
    <n v="21382000"/>
  </r>
  <r>
    <x v="8454"/>
    <n v="139.44000199999999"/>
    <n v="140.179993"/>
    <n v="138.44000199999999"/>
    <x v="4756"/>
    <n v="136.18351699999999"/>
    <n v="17456600"/>
  </r>
  <r>
    <x v="8455"/>
    <n v="140.14999399999999"/>
    <n v="140.36000100000001"/>
    <n v="136.64999399999999"/>
    <x v="4757"/>
    <n v="134.417068"/>
    <n v="22477700"/>
  </r>
  <r>
    <x v="8456"/>
    <n v="138.050003"/>
    <n v="139.220001"/>
    <n v="137.779999"/>
    <x v="4758"/>
    <n v="135.685822"/>
    <n v="17280900"/>
  </r>
  <r>
    <x v="8457"/>
    <n v="139.66000399999999"/>
    <n v="140.25"/>
    <n v="137"/>
    <x v="4759"/>
    <n v="133.77297999999999"/>
    <n v="21466600"/>
  </r>
  <r>
    <x v="8458"/>
    <n v="136.25"/>
    <n v="136.36999499999999"/>
    <n v="133.58000200000001"/>
    <x v="4760"/>
    <n v="131.411148"/>
    <n v="30521700"/>
  </r>
  <r>
    <x v="8459"/>
    <n v="134.949997"/>
    <n v="136.75"/>
    <n v="133.220001"/>
    <x v="4761"/>
    <n v="133.001938"/>
    <n v="24132900"/>
  </r>
  <r>
    <x v="8460"/>
    <n v="136.75"/>
    <n v="138.25"/>
    <n v="136.41999799999999"/>
    <x v="4738"/>
    <n v="134.79766799999999"/>
    <n v="22897700"/>
  </r>
  <r>
    <x v="8461"/>
    <n v="137.13999899999999"/>
    <n v="138.179993"/>
    <n v="137.020004"/>
    <x v="4762"/>
    <n v="133.82174699999999"/>
    <n v="15303700"/>
  </r>
  <r>
    <x v="8462"/>
    <n v="137.08000200000001"/>
    <n v="137.759995"/>
    <n v="135.61999499999999"/>
    <x v="4763"/>
    <n v="132.40661600000001"/>
    <n v="25550500"/>
  </r>
  <r>
    <x v="8463"/>
    <n v="137.46000699999999"/>
    <n v="138.699997"/>
    <n v="136.970001"/>
    <x v="4764"/>
    <n v="134.914795"/>
    <n v="19749900"/>
  </r>
  <r>
    <x v="8464"/>
    <n v="138.490005"/>
    <n v="139.66999799999999"/>
    <n v="138.25"/>
    <x v="4743"/>
    <n v="135.75413499999999"/>
    <n v="17654600"/>
  </r>
  <r>
    <x v="8465"/>
    <n v="140.11999499999999"/>
    <n v="141.029999"/>
    <n v="139.5"/>
    <x v="4765"/>
    <n v="136.320145"/>
    <n v="25446000"/>
  </r>
  <r>
    <x v="8466"/>
    <n v="139.69000199999999"/>
    <n v="140.28999300000001"/>
    <n v="139.520004"/>
    <x v="4766"/>
    <n v="136.19331399999999"/>
    <n v="13304300"/>
  </r>
  <r>
    <x v="8467"/>
    <n v="140.05999800000001"/>
    <n v="141.78999300000001"/>
    <n v="139.80999800000001"/>
    <x v="4767"/>
    <n v="138.164703"/>
    <n v="19695700"/>
  </r>
  <r>
    <x v="8468"/>
    <n v="140.78999300000001"/>
    <n v="140.990005"/>
    <n v="139.529999"/>
    <x v="4768"/>
    <n v="137.03260800000001"/>
    <n v="20751600"/>
  </r>
  <r>
    <x v="8469"/>
    <n v="140.949997"/>
    <n v="141.41999799999999"/>
    <n v="139.020004"/>
    <x v="4769"/>
    <n v="136.329926"/>
    <n v="21460600"/>
  </r>
  <r>
    <x v="8470"/>
    <n v="139.759995"/>
    <n v="140"/>
    <n v="136.55999800000001"/>
    <x v="4770"/>
    <n v="134.104782"/>
    <n v="32273500"/>
  </r>
  <r>
    <x v="8471"/>
    <n v="138.449997"/>
    <n v="138.5"/>
    <n v="137.009995"/>
    <x v="4712"/>
    <n v="135.100235"/>
    <n v="20078200"/>
  </r>
  <r>
    <x v="8472"/>
    <n v="138.970001"/>
    <n v="140.009995"/>
    <n v="136.259995"/>
    <x v="4771"/>
    <n v="133.08978300000001"/>
    <n v="27431000"/>
  </r>
  <r>
    <x v="8473"/>
    <n v="136.88000500000001"/>
    <n v="137.449997"/>
    <n v="135.61000100000001"/>
    <x v="4772"/>
    <n v="133.93885800000001"/>
    <n v="29844600"/>
  </r>
  <r>
    <x v="8474"/>
    <n v="139.38999899999999"/>
    <n v="140.41999799999999"/>
    <n v="138.66999799999999"/>
    <x v="4773"/>
    <n v="136.57389800000001"/>
    <n v="37029300"/>
  </r>
  <r>
    <x v="8475"/>
    <n v="139.33999600000001"/>
    <n v="141.13999899999999"/>
    <n v="139.199997"/>
    <x v="4774"/>
    <n v="137.34489400000001"/>
    <n v="25959700"/>
  </r>
  <r>
    <x v="8476"/>
    <n v="144.39999399999999"/>
    <n v="145.66999799999999"/>
    <n v="143.509995"/>
    <x v="4775"/>
    <n v="140.721664"/>
    <n v="35280100"/>
  </r>
  <r>
    <x v="8477"/>
    <n v="144.08000200000001"/>
    <n v="144.5"/>
    <n v="142.64999399999999"/>
    <x v="4776"/>
    <n v="139.39439400000001"/>
    <n v="20589500"/>
  </r>
  <r>
    <x v="8478"/>
    <n v="143.520004"/>
    <n v="145"/>
    <n v="142.78999300000001"/>
    <x v="4777"/>
    <n v="141.13159200000001"/>
    <n v="18496600"/>
  </r>
  <r>
    <x v="8479"/>
    <n v="144.89999399999999"/>
    <n v="144.929993"/>
    <n v="142.990005"/>
    <x v="4778"/>
    <n v="139.92138700000001"/>
    <n v="24605100"/>
  </r>
  <r>
    <x v="8480"/>
    <n v="144.259995"/>
    <n v="144.41999799999999"/>
    <n v="142.970001"/>
    <x v="4779"/>
    <n v="140.26297"/>
    <n v="33128400"/>
  </r>
  <r>
    <x v="8481"/>
    <n v="144.83000200000001"/>
    <n v="145"/>
    <n v="144.16000399999999"/>
    <x v="4780"/>
    <n v="141.07302899999999"/>
    <n v="16912000"/>
  </r>
  <r>
    <x v="8482"/>
    <n v="144.970001"/>
    <n v="145.020004"/>
    <n v="143.91000399999999"/>
    <x v="4781"/>
    <n v="140.98516799999999"/>
    <n v="18250200"/>
  </r>
  <r>
    <x v="8483"/>
    <n v="144.36999499999999"/>
    <n v="144.520004"/>
    <n v="143.199997"/>
    <x v="4782"/>
    <n v="140.59480300000001"/>
    <n v="16575800"/>
  </r>
  <r>
    <x v="8484"/>
    <n v="143.83999600000001"/>
    <n v="144.88000500000001"/>
    <n v="143.770004"/>
    <x v="4783"/>
    <n v="140.78997799999999"/>
    <n v="17786700"/>
  </r>
  <r>
    <x v="8485"/>
    <n v="143.979996"/>
    <n v="145.990005"/>
    <n v="143.759995"/>
    <x v="4784"/>
    <n v="142.44914199999999"/>
    <n v="16732700"/>
  </r>
  <r>
    <x v="8486"/>
    <n v="145.33999600000001"/>
    <n v="146.41999799999999"/>
    <n v="144.729996"/>
    <x v="4785"/>
    <n v="142.595505"/>
    <n v="14362600"/>
  </r>
  <r>
    <x v="8487"/>
    <n v="146.279999"/>
    <n v="147.570007"/>
    <n v="146.05999800000001"/>
    <x v="4786"/>
    <n v="143.53241"/>
    <n v="18641600"/>
  </r>
  <r>
    <x v="8488"/>
    <n v="146.740005"/>
    <n v="147.46000699999999"/>
    <n v="146.279999"/>
    <x v="4787"/>
    <n v="143.766617"/>
    <n v="16919200"/>
  </r>
  <r>
    <x v="8489"/>
    <n v="147.020004"/>
    <n v="148.41000399999999"/>
    <n v="147"/>
    <x v="4788"/>
    <n v="144.49859599999999"/>
    <n v="19729800"/>
  </r>
  <r>
    <x v="8490"/>
    <n v="148.929993"/>
    <n v="149.990005"/>
    <n v="148.270004"/>
    <x v="4789"/>
    <n v="146.36265599999999"/>
    <n v="23485700"/>
  </r>
  <r>
    <x v="8491"/>
    <n v="150.070007"/>
    <n v="150.550003"/>
    <n v="148.979996"/>
    <x v="4790"/>
    <n v="146.72373999999999"/>
    <n v="21534000"/>
  </r>
  <r>
    <x v="8492"/>
    <n v="150.88000500000001"/>
    <n v="151.33000200000001"/>
    <n v="150.199997"/>
    <x v="4791"/>
    <n v="146.772537"/>
    <n v="23935700"/>
  </r>
  <r>
    <x v="8493"/>
    <n v="150.30999800000001"/>
    <n v="150.83999600000001"/>
    <n v="148.46000699999999"/>
    <x v="4792"/>
    <n v="146.517944"/>
    <n v="25696800"/>
  </r>
  <r>
    <x v="8494"/>
    <n v="149.39999399999999"/>
    <n v="149.800003"/>
    <n v="148.5"/>
    <x v="4793"/>
    <n v="146.38082900000001"/>
    <n v="18576100"/>
  </r>
  <r>
    <x v="8495"/>
    <n v="150.070007"/>
    <n v="150.300003"/>
    <n v="148.820007"/>
    <x v="4794"/>
    <n v="146.48855599999999"/>
    <n v="15901800"/>
  </r>
  <r>
    <x v="8496"/>
    <n v="150"/>
    <n v="151.35000600000001"/>
    <n v="149.91999799999999"/>
    <x v="4795"/>
    <n v="148.09454299999999"/>
    <n v="22420900"/>
  </r>
  <r>
    <x v="8497"/>
    <n v="151.36000100000001"/>
    <n v="152.41999799999999"/>
    <n v="151.320007"/>
    <x v="4796"/>
    <n v="148.87799100000001"/>
    <n v="24620100"/>
  </r>
  <r>
    <x v="8498"/>
    <n v="152.33000200000001"/>
    <n v="152.5"/>
    <n v="151.520004"/>
    <x v="4797"/>
    <n v="149.16197199999999"/>
    <n v="15184400"/>
  </r>
  <r>
    <x v="8499"/>
    <n v="152.10000600000001"/>
    <n v="152.300003"/>
    <n v="151.279999"/>
    <x v="4798"/>
    <n v="148.24146999999999"/>
    <n v="11977300"/>
  </r>
  <r>
    <x v="8500"/>
    <n v="151.80999800000001"/>
    <n v="151.83000200000001"/>
    <n v="148.320007"/>
    <x v="4799"/>
    <n v="146.44940199999999"/>
    <n v="27418400"/>
  </r>
  <r>
    <x v="8501"/>
    <n v="147.490005"/>
    <n v="149.429993"/>
    <n v="146.64999399999999"/>
    <x v="4800"/>
    <n v="146.21438599999999"/>
    <n v="24066000"/>
  </r>
  <r>
    <x v="8502"/>
    <n v="150.13999899999999"/>
    <n v="150.179993"/>
    <n v="149.199997"/>
    <x v="4801"/>
    <n v="146.74319499999999"/>
    <n v="17574700"/>
  </r>
  <r>
    <x v="8503"/>
    <n v="150.050003"/>
    <n v="150.320007"/>
    <n v="149.479996"/>
    <x v="4802"/>
    <n v="146.82150300000001"/>
    <n v="17869100"/>
  </r>
  <r>
    <x v="8504"/>
    <n v="150.990005"/>
    <n v="151.86999499999999"/>
    <n v="150.270004"/>
    <x v="4803"/>
    <n v="148.60380599999999"/>
    <n v="16403500"/>
  </r>
  <r>
    <x v="8505"/>
    <n v="151.070007"/>
    <n v="152.21000699999999"/>
    <n v="150.91000399999999"/>
    <x v="4804"/>
    <n v="148.22186300000001"/>
    <n v="16687400"/>
  </r>
  <r>
    <x v="8506"/>
    <n v="151.28999300000001"/>
    <n v="151.88999899999999"/>
    <n v="150.759995"/>
    <x v="4805"/>
    <n v="147.99662799999999"/>
    <n v="16476100"/>
  </r>
  <r>
    <x v="8507"/>
    <n v="151.53999300000001"/>
    <n v="151.86999499999999"/>
    <n v="150.33000200000001"/>
    <x v="4806"/>
    <n v="148.55484000000001"/>
    <n v="18856600"/>
  </r>
  <r>
    <x v="8508"/>
    <n v="151.64999399999999"/>
    <n v="153.44000199999999"/>
    <n v="151.020004"/>
    <x v="4807"/>
    <n v="150.06289699999999"/>
    <n v="24612100"/>
  </r>
  <r>
    <x v="8509"/>
    <n v="153"/>
    <n v="154.88999899999999"/>
    <n v="152.83000200000001"/>
    <x v="4808"/>
    <n v="151.32614100000001"/>
    <n v="23845400"/>
  </r>
  <r>
    <x v="8510"/>
    <n v="155.11000100000001"/>
    <n v="155.89999399999999"/>
    <n v="154.820007"/>
    <x v="4809"/>
    <n v="152.30543499999999"/>
    <n v="24144200"/>
  </r>
  <r>
    <x v="8511"/>
    <n v="155.449997"/>
    <n v="155.71000699999999"/>
    <n v="154.449997"/>
    <x v="4810"/>
    <n v="151.48281900000001"/>
    <n v="25425600"/>
  </r>
  <r>
    <x v="8512"/>
    <n v="154.300003"/>
    <n v="155.479996"/>
    <n v="154.179993"/>
    <x v="4811"/>
    <n v="151.169464"/>
    <n v="24129200"/>
  </r>
  <r>
    <x v="8513"/>
    <n v="154"/>
    <n v="155.770004"/>
    <n v="153.75"/>
    <x v="4812"/>
    <n v="152.48168899999999"/>
    <n v="24958900"/>
  </r>
  <r>
    <x v="8514"/>
    <n v="157.35000600000001"/>
    <n v="158.490005"/>
    <n v="156.28999300000001"/>
    <x v="4813"/>
    <n v="154.14643899999999"/>
    <n v="53477500"/>
  </r>
  <r>
    <x v="8515"/>
    <n v="158.11999499999999"/>
    <n v="158.11999499999999"/>
    <n v="157.270004"/>
    <x v="4813"/>
    <n v="154.14643899999999"/>
    <n v="17718200"/>
  </r>
  <r>
    <x v="8516"/>
    <n v="157.479996"/>
    <n v="157.71000699999999"/>
    <n v="157.11999499999999"/>
    <x v="4814"/>
    <n v="154.117065"/>
    <n v="8989200"/>
  </r>
  <r>
    <x v="8517"/>
    <n v="157.55999800000001"/>
    <n v="158.729996"/>
    <n v="157.39999399999999"/>
    <x v="4815"/>
    <n v="155.38028"/>
    <n v="14520600"/>
  </r>
  <r>
    <x v="8518"/>
    <n v="159.449997"/>
    <n v="159.550003"/>
    <n v="158.220001"/>
    <x v="4816"/>
    <n v="155.66430700000001"/>
    <n v="18412800"/>
  </r>
  <r>
    <x v="8519"/>
    <n v="158.990005"/>
    <n v="159.020004"/>
    <n v="156.729996"/>
    <x v="4817"/>
    <n v="154.32270800000001"/>
    <n v="16348400"/>
  </r>
  <r>
    <x v="8520"/>
    <n v="156.770004"/>
    <n v="157.770004"/>
    <n v="156.449997"/>
    <x v="4818"/>
    <n v="154.43045000000001"/>
    <n v="18369400"/>
  </r>
  <r>
    <x v="8521"/>
    <n v="158.779999"/>
    <n v="160.729996"/>
    <n v="158.33000200000001"/>
    <x v="4819"/>
    <n v="157.28987100000001"/>
    <n v="22622100"/>
  </r>
  <r>
    <x v="8522"/>
    <n v="158.320007"/>
    <n v="159.949997"/>
    <n v="158.05999800000001"/>
    <x v="4820"/>
    <n v="155.33132900000001"/>
    <n v="21116200"/>
  </r>
  <r>
    <x v="8523"/>
    <n v="157.08000200000001"/>
    <n v="159.10000600000001"/>
    <n v="156.509995"/>
    <x v="4821"/>
    <n v="155.73284899999999"/>
    <n v="20813700"/>
  </r>
  <r>
    <x v="8524"/>
    <n v="159.320007"/>
    <n v="159.66999799999999"/>
    <n v="157.320007"/>
    <x v="4822"/>
    <n v="154.312927"/>
    <n v="21634100"/>
  </r>
  <r>
    <x v="8525"/>
    <n v="158.929993"/>
    <n v="160.800003"/>
    <n v="157.949997"/>
    <x v="4823"/>
    <n v="156.770859"/>
    <n v="27746500"/>
  </r>
  <r>
    <x v="8526"/>
    <n v="161.83999600000001"/>
    <n v="162.220001"/>
    <n v="161.029999"/>
    <x v="4824"/>
    <n v="158.729401"/>
    <n v="21385000"/>
  </r>
  <r>
    <x v="8527"/>
    <n v="162.820007"/>
    <n v="163.220001"/>
    <n v="161.179993"/>
    <x v="4825"/>
    <n v="157.99494899999999"/>
    <n v="20725900"/>
  </r>
  <r>
    <x v="8528"/>
    <n v="161.759995"/>
    <n v="163.30999800000001"/>
    <n v="161.259995"/>
    <x v="4826"/>
    <n v="159.89473000000001"/>
    <n v="21626500"/>
  </r>
  <r>
    <x v="8529"/>
    <n v="163.38999899999999"/>
    <n v="163.60000600000001"/>
    <n v="161.720001"/>
    <x v="4827"/>
    <n v="158.768585"/>
    <n v="23477400"/>
  </r>
  <r>
    <x v="8530"/>
    <n v="162.61999499999999"/>
    <n v="163.94000199999999"/>
    <n v="162.570007"/>
    <x v="4828"/>
    <n v="159.79679899999999"/>
    <n v="21417900"/>
  </r>
  <r>
    <x v="8531"/>
    <n v="164.35000600000001"/>
    <n v="166.240005"/>
    <n v="164.029999"/>
    <x v="4829"/>
    <n v="162.724808"/>
    <n v="23865400"/>
  </r>
  <r>
    <x v="8532"/>
    <n v="167.41999799999999"/>
    <n v="167.470001"/>
    <n v="165.429993"/>
    <x v="4830"/>
    <n v="163.63554400000001"/>
    <n v="34371700"/>
  </r>
  <r>
    <x v="8533"/>
    <n v="166.679993"/>
    <n v="168.19000199999999"/>
    <n v="166.429993"/>
    <x v="4831"/>
    <n v="163.047989"/>
    <n v="29517200"/>
  </r>
  <r>
    <x v="8534"/>
    <n v="167.39999399999999"/>
    <n v="167.490005"/>
    <n v="165.679993"/>
    <x v="4832"/>
    <n v="162.26454200000001"/>
    <n v="24138800"/>
  </r>
  <r>
    <x v="8535"/>
    <n v="166.19000199999999"/>
    <n v="166.800003"/>
    <n v="165.270004"/>
    <x v="4833"/>
    <n v="163.263443"/>
    <n v="19680800"/>
  </r>
  <r>
    <x v="8536"/>
    <n v="167.509995"/>
    <n v="167.529999"/>
    <n v="164.449997"/>
    <x v="4834"/>
    <n v="161.618225"/>
    <n v="24918100"/>
  </r>
  <r>
    <x v="8537"/>
    <n v="161.14999399999999"/>
    <n v="163.38000500000001"/>
    <n v="160.199997"/>
    <x v="4835"/>
    <n v="158.91545099999999"/>
    <n v="32078100"/>
  </r>
  <r>
    <x v="8538"/>
    <n v="163.779999"/>
    <n v="165.759995"/>
    <n v="163.070007"/>
    <x v="4836"/>
    <n v="162.02954099999999"/>
    <n v="24899900"/>
  </r>
  <r>
    <x v="8539"/>
    <n v="167.83999600000001"/>
    <n v="168.75"/>
    <n v="165.69000199999999"/>
    <x v="4837"/>
    <n v="164.55604600000001"/>
    <n v="34754500"/>
  </r>
  <r>
    <x v="8540"/>
    <n v="174.050003"/>
    <n v="174.050003"/>
    <n v="170.78999300000001"/>
    <x v="4838"/>
    <n v="169.19778400000001"/>
    <n v="51597500"/>
  </r>
  <r>
    <x v="8541"/>
    <n v="172.21000699999999"/>
    <n v="172.39999399999999"/>
    <n v="169.58000200000001"/>
    <x v="4839"/>
    <n v="166.700638"/>
    <n v="36142700"/>
  </r>
  <r>
    <x v="8542"/>
    <n v="170.429993"/>
    <n v="174.5"/>
    <n v="170.39999399999999"/>
    <x v="4840"/>
    <n v="170.76460299999999"/>
    <n v="30107000"/>
  </r>
  <r>
    <x v="8543"/>
    <n v="177.13999899999999"/>
    <n v="180.63999899999999"/>
    <n v="176.30999800000001"/>
    <x v="4841"/>
    <n v="176.385605"/>
    <n v="36433300"/>
  </r>
  <r>
    <x v="8544"/>
    <n v="184.029999"/>
    <n v="184.199997"/>
    <n v="178.41000399999999"/>
    <x v="4842"/>
    <n v="176.170151"/>
    <n v="39186300"/>
  </r>
  <r>
    <x v="8545"/>
    <n v="180.970001"/>
    <n v="183.820007"/>
    <n v="180.05999800000001"/>
    <x v="4843"/>
    <n v="179.82281499999999"/>
    <n v="27751400"/>
  </r>
  <r>
    <x v="8546"/>
    <n v="182.85000600000001"/>
    <n v="185.63000500000001"/>
    <n v="182.479996"/>
    <x v="4844"/>
    <n v="180.077438"/>
    <n v="33529100"/>
  </r>
  <r>
    <x v="8547"/>
    <n v="183.58000200000001"/>
    <n v="188.83999600000001"/>
    <n v="183.25"/>
    <x v="4845"/>
    <n v="184.787689"/>
    <n v="35844300"/>
  </r>
  <r>
    <x v="8548"/>
    <n v="190.64999399999999"/>
    <n v="190.699997"/>
    <n v="183.5"/>
    <x v="4846"/>
    <n v="180.61604299999999"/>
    <n v="53159900"/>
  </r>
  <r>
    <x v="8549"/>
    <n v="185.58000200000001"/>
    <n v="185.85000600000001"/>
    <n v="181.85000600000001"/>
    <x v="4847"/>
    <n v="180.880447"/>
    <n v="47062900"/>
  </r>
  <r>
    <x v="8550"/>
    <n v="183.08000200000001"/>
    <n v="186.229996"/>
    <n v="182.86999499999999"/>
    <x v="4848"/>
    <n v="179.901184"/>
    <n v="35295800"/>
  </r>
  <r>
    <x v="8551"/>
    <n v="183.25"/>
    <n v="185.41000399999999"/>
    <n v="182.64999399999999"/>
    <x v="4849"/>
    <n v="181.50714099999999"/>
    <n v="23149500"/>
  </r>
  <r>
    <x v="8552"/>
    <n v="185.61000100000001"/>
    <n v="187.699997"/>
    <n v="185.5"/>
    <x v="4850"/>
    <n v="183.34816000000001"/>
    <n v="27792200"/>
  </r>
  <r>
    <x v="8553"/>
    <n v="188.05999800000001"/>
    <n v="188.179993"/>
    <n v="186.470001"/>
    <x v="4851"/>
    <n v="183.898056"/>
    <n v="29997500"/>
  </r>
  <r>
    <x v="8554"/>
    <n v="186.949997"/>
    <n v="187.25"/>
    <n v="181.10000600000001"/>
    <x v="4852"/>
    <n v="181.08973700000001"/>
    <n v="36862400"/>
  </r>
  <r>
    <x v="8555"/>
    <n v="183.16999799999999"/>
    <n v="183.5"/>
    <n v="177.25"/>
    <x v="4853"/>
    <n v="175.36499000000001"/>
    <n v="48572600"/>
  </r>
  <r>
    <x v="8556"/>
    <n v="167.770004"/>
    <n v="174.550003"/>
    <n v="163.229996"/>
    <x v="4854"/>
    <n v="167.80403100000001"/>
    <n v="68311100"/>
  </r>
  <r>
    <x v="8557"/>
    <n v="174.199997"/>
    <n v="174.83999600000001"/>
    <n v="167.64999399999999"/>
    <x v="4855"/>
    <n v="165.03495799999999"/>
    <n v="68073300"/>
  </r>
  <r>
    <x v="8558"/>
    <n v="169.71000699999999"/>
    <n v="173.259995"/>
    <n v="168.21000699999999"/>
    <x v="4856"/>
    <n v="167.09704600000001"/>
    <n v="56206100"/>
  </r>
  <r>
    <x v="8559"/>
    <n v="163.320007"/>
    <n v="167.029999"/>
    <n v="157.979996"/>
    <x v="4857"/>
    <n v="155.323532"/>
    <n v="93174900"/>
  </r>
  <r>
    <x v="8560"/>
    <n v="152.41000399999999"/>
    <n v="163.71000699999999"/>
    <n v="152"/>
    <x v="4858"/>
    <n v="159.084396"/>
    <n v="97012700"/>
  </r>
  <r>
    <x v="8561"/>
    <n v="165.30999800000001"/>
    <n v="172.91999799999999"/>
    <n v="162.30999800000001"/>
    <x v="4859"/>
    <n v="169.66973899999999"/>
    <n v="71030800"/>
  </r>
  <r>
    <x v="8562"/>
    <n v="173.800003"/>
    <n v="175"/>
    <n v="162.259995"/>
    <x v="4860"/>
    <n v="161.53924599999999"/>
    <n v="71677000"/>
  </r>
  <r>
    <x v="8563"/>
    <n v="168.490005"/>
    <n v="170.699997"/>
    <n v="165.61999499999999"/>
    <x v="4861"/>
    <n v="167.47018399999999"/>
    <n v="49814400"/>
  </r>
  <r>
    <x v="8564"/>
    <n v="166.050003"/>
    <n v="170.86999499999999"/>
    <n v="165.69000199999999"/>
    <x v="4862"/>
    <n v="163.267471"/>
    <n v="47817300"/>
  </r>
  <r>
    <x v="8565"/>
    <n v="162.61000100000001"/>
    <n v="163.11000100000001"/>
    <n v="156"/>
    <x v="4863"/>
    <n v="158.652344"/>
    <n v="72821100"/>
  </r>
  <r>
    <x v="8566"/>
    <n v="151"/>
    <n v="157.75"/>
    <n v="150"/>
    <x v="4864"/>
    <n v="147.90010100000001"/>
    <n v="70419300"/>
  </r>
  <r>
    <x v="8567"/>
    <n v="158.16000399999999"/>
    <n v="161.029999"/>
    <n v="152.58000200000001"/>
    <x v="4865"/>
    <n v="158.014084"/>
    <n v="65354400"/>
  </r>
  <r>
    <x v="8568"/>
    <n v="157.13000500000001"/>
    <n v="157.699997"/>
    <n v="151.14999399999999"/>
    <x v="4866"/>
    <n v="150.855728"/>
    <n v="56371600"/>
  </r>
  <r>
    <x v="8569"/>
    <n v="145.300003"/>
    <n v="153.470001"/>
    <n v="138.58000200000001"/>
    <x v="4867"/>
    <n v="136.54882799999999"/>
    <n v="93226400"/>
  </r>
  <r>
    <x v="8570"/>
    <n v="147.5"/>
    <n v="161.91000399999999"/>
    <n v="140.729996"/>
    <x v="4868"/>
    <n v="155.96182300000001"/>
    <n v="92727400"/>
  </r>
  <r>
    <x v="8571"/>
    <n v="140"/>
    <n v="149.35000600000001"/>
    <n v="135"/>
    <x v="4869"/>
    <n v="132.974548"/>
    <n v="87905900"/>
  </r>
  <r>
    <x v="8572"/>
    <n v="140"/>
    <n v="147.5"/>
    <n v="135"/>
    <x v="4870"/>
    <n v="143.923248"/>
    <n v="81059800"/>
  </r>
  <r>
    <x v="8573"/>
    <n v="138"/>
    <n v="146"/>
    <n v="135.020004"/>
    <x v="4871"/>
    <n v="137.86463900000001"/>
    <n v="81593200"/>
  </r>
  <r>
    <x v="8574"/>
    <n v="142.770004"/>
    <n v="150.14999399999999"/>
    <n v="139"/>
    <x v="4872"/>
    <n v="140.13294999999999"/>
    <n v="85922700"/>
  </r>
  <r>
    <x v="8575"/>
    <n v="146"/>
    <n v="147.10000600000001"/>
    <n v="135.86000100000001"/>
    <x v="4873"/>
    <n v="134.86973599999999"/>
    <n v="84866200"/>
  </r>
  <r>
    <x v="8576"/>
    <n v="137.009995"/>
    <n v="140.570007"/>
    <n v="132.520004"/>
    <x v="4874"/>
    <n v="133.524429"/>
    <n v="78975200"/>
  </r>
  <r>
    <x v="8577"/>
    <n v="143.75"/>
    <n v="149.60000600000001"/>
    <n v="141.270004"/>
    <x v="4875"/>
    <n v="145.66125500000001"/>
    <n v="82516700"/>
  </r>
  <r>
    <x v="8578"/>
    <n v="148.91000399999999"/>
    <n v="154.33000200000001"/>
    <n v="144.44000199999999"/>
    <x v="4876"/>
    <n v="144.266907"/>
    <n v="75638200"/>
  </r>
  <r>
    <x v="8579"/>
    <n v="148.39999399999999"/>
    <n v="156.66000399999999"/>
    <n v="148.36999499999999"/>
    <x v="4877"/>
    <n v="153.29092399999999"/>
    <n v="64568100"/>
  </r>
  <r>
    <x v="8580"/>
    <n v="151.75"/>
    <n v="154.88999899999999"/>
    <n v="149.199997"/>
    <x v="4878"/>
    <n v="146.99670399999999"/>
    <n v="57042300"/>
  </r>
  <r>
    <x v="8581"/>
    <n v="152.44000199999999"/>
    <n v="160.60000600000001"/>
    <n v="150.009995"/>
    <x v="4879"/>
    <n v="157.33656300000001"/>
    <n v="63420300"/>
  </r>
  <r>
    <x v="8582"/>
    <n v="159.39999399999999"/>
    <n v="164.779999"/>
    <n v="156.55999800000001"/>
    <x v="4880"/>
    <n v="154.86204499999999"/>
    <n v="77927200"/>
  </r>
  <r>
    <x v="8583"/>
    <n v="153"/>
    <n v="157.75"/>
    <n v="150.820007"/>
    <x v="4881"/>
    <n v="149.36317399999999"/>
    <n v="57969900"/>
  </r>
  <r>
    <x v="8584"/>
    <n v="151.86000100000001"/>
    <n v="155.479996"/>
    <n v="150.36000100000001"/>
    <x v="4882"/>
    <n v="152.45631399999999"/>
    <n v="49630700"/>
  </r>
  <r>
    <x v="8585"/>
    <n v="155.10000600000001"/>
    <n v="157.38000500000001"/>
    <n v="152.19000199999999"/>
    <x v="4883"/>
    <n v="151.05212399999999"/>
    <n v="41243300"/>
  </r>
  <r>
    <x v="8586"/>
    <n v="160.320007"/>
    <n v="166.5"/>
    <n v="157.58000200000001"/>
    <x v="4884"/>
    <n v="162.28555299999999"/>
    <n v="67111700"/>
  </r>
  <r>
    <x v="8587"/>
    <n v="169.58999600000001"/>
    <n v="170"/>
    <n v="163.259995"/>
    <x v="4885"/>
    <n v="160.537689"/>
    <n v="62769000"/>
  </r>
  <r>
    <x v="8588"/>
    <n v="165.66999799999999"/>
    <n v="166.66999799999999"/>
    <n v="163.5"/>
    <x v="4886"/>
    <n v="162.14804100000001"/>
    <n v="48318200"/>
  </r>
  <r>
    <x v="8589"/>
    <n v="166.36000100000001"/>
    <n v="167.36999499999999"/>
    <n v="163.33000200000001"/>
    <x v="4887"/>
    <n v="162.15789799999999"/>
    <n v="51385100"/>
  </r>
  <r>
    <x v="8590"/>
    <n v="164.35000600000001"/>
    <n v="165.570007"/>
    <n v="162.300003"/>
    <x v="4888"/>
    <n v="162.52121"/>
    <n v="41905300"/>
  </r>
  <r>
    <x v="8591"/>
    <n v="169"/>
    <n v="173.75"/>
    <n v="168"/>
    <x v="4889"/>
    <n v="170.563309"/>
    <n v="52874300"/>
  </r>
  <r>
    <x v="8592"/>
    <n v="171.199997"/>
    <n v="173.570007"/>
    <n v="169.240005"/>
    <x v="4890"/>
    <n v="168.77615399999999"/>
    <n v="40940800"/>
  </r>
  <r>
    <x v="8593"/>
    <n v="174.300003"/>
    <n v="177.279999"/>
    <n v="172.89999399999999"/>
    <x v="4891"/>
    <n v="173.84300200000001"/>
    <n v="50479600"/>
  </r>
  <r>
    <x v="8594"/>
    <n v="179.5"/>
    <n v="180"/>
    <n v="175.86999499999999"/>
    <x v="4892"/>
    <n v="175.37480199999999"/>
    <n v="52765600"/>
  </r>
  <r>
    <x v="8595"/>
    <n v="176.63000500000001"/>
    <n v="178.75"/>
    <n v="174.990005"/>
    <x v="4893"/>
    <n v="171.89875799999999"/>
    <n v="36669600"/>
  </r>
  <r>
    <x v="8596"/>
    <n v="173.5"/>
    <n v="173.66999799999999"/>
    <n v="166.11000100000001"/>
    <x v="4894"/>
    <n v="164.78947400000001"/>
    <n v="56203700"/>
  </r>
  <r>
    <x v="8597"/>
    <n v="171.38999899999999"/>
    <n v="174"/>
    <n v="170.820007"/>
    <x v="4895"/>
    <n v="170.38653600000001"/>
    <n v="34620200"/>
  </r>
  <r>
    <x v="8598"/>
    <n v="174.11000100000001"/>
    <n v="175.05999800000001"/>
    <n v="170.91000399999999"/>
    <x v="4896"/>
    <n v="168.324478"/>
    <n v="32790800"/>
  </r>
  <r>
    <x v="8599"/>
    <n v="172.05999800000001"/>
    <n v="174.55999800000001"/>
    <n v="170.71000699999999"/>
    <x v="4897"/>
    <n v="171.39794900000001"/>
    <n v="34277600"/>
  </r>
  <r>
    <x v="8600"/>
    <n v="176.58999600000001"/>
    <n v="176.89999399999999"/>
    <n v="173.300003"/>
    <x v="4898"/>
    <n v="170.906982"/>
    <n v="33194400"/>
  </r>
  <r>
    <x v="8601"/>
    <n v="175.58999600000001"/>
    <n v="175.66999799999999"/>
    <n v="169.38999899999999"/>
    <x v="4899"/>
    <n v="166.74352999999999"/>
    <n v="34392700"/>
  </r>
  <r>
    <x v="8602"/>
    <n v="173.220001"/>
    <n v="177.679993"/>
    <n v="171.88000500000001"/>
    <x v="4900"/>
    <n v="174.22593699999999"/>
    <n v="51286600"/>
  </r>
  <r>
    <x v="8603"/>
    <n v="180"/>
    <n v="180.39999399999999"/>
    <n v="176.229996"/>
    <x v="4901"/>
    <n v="175.973816"/>
    <n v="53875900"/>
  </r>
  <r>
    <x v="8604"/>
    <n v="175.800003"/>
    <n v="178.63999899999999"/>
    <n v="174.009995"/>
    <x v="4902"/>
    <n v="171.41760300000001"/>
    <n v="39370500"/>
  </r>
  <r>
    <x v="8605"/>
    <n v="174.490005"/>
    <n v="179"/>
    <n v="173.800003"/>
    <x v="4903"/>
    <n v="175.61047400000001"/>
    <n v="30372900"/>
  </r>
  <r>
    <x v="8606"/>
    <n v="180.61999499999999"/>
    <n v="183.64999399999999"/>
    <n v="179.89999399999999"/>
    <x v="4904"/>
    <n v="177.49580399999999"/>
    <n v="36839200"/>
  </r>
  <r>
    <x v="8607"/>
    <n v="182.08000200000001"/>
    <n v="184.199997"/>
    <n v="181.63000500000001"/>
    <x v="4905"/>
    <n v="179.24366800000001"/>
    <n v="32139300"/>
  </r>
  <r>
    <x v="8608"/>
    <n v="184.16999799999999"/>
    <n v="184.550003"/>
    <n v="182.58000200000001"/>
    <x v="4906"/>
    <n v="180.28454600000001"/>
    <n v="28316000"/>
  </r>
  <r>
    <x v="8609"/>
    <n v="184.979996"/>
    <n v="185"/>
    <n v="183.36000100000001"/>
    <x v="4907"/>
    <n v="181.345032"/>
    <n v="30877800"/>
  </r>
  <r>
    <x v="8610"/>
    <n v="183.14999399999999"/>
    <n v="187.509995"/>
    <n v="182.85000600000001"/>
    <x v="4908"/>
    <n v="183.367828"/>
    <n v="30892700"/>
  </r>
  <r>
    <x v="8611"/>
    <n v="186.800003"/>
    <n v="187.03999300000001"/>
    <n v="182.300003"/>
    <x v="4909"/>
    <n v="179.214203"/>
    <n v="32038200"/>
  </r>
  <r>
    <x v="8612"/>
    <n v="182.550003"/>
    <n v="184.050003"/>
    <n v="176.53999300000001"/>
    <x v="4910"/>
    <n v="176.50405900000001"/>
    <n v="44711500"/>
  </r>
  <r>
    <x v="8613"/>
    <n v="177.53999300000001"/>
    <n v="180.69000199999999"/>
    <n v="175.679993"/>
    <x v="4911"/>
    <n v="177.269958"/>
    <n v="41873900"/>
  </r>
  <r>
    <x v="8614"/>
    <n v="179.05999800000001"/>
    <n v="187.05999800000001"/>
    <n v="177"/>
    <x v="4912"/>
    <n v="179.852463"/>
    <n v="46610400"/>
  </r>
  <r>
    <x v="8615"/>
    <n v="185.75"/>
    <n v="186.199997"/>
    <n v="183.96000699999999"/>
    <x v="4913"/>
    <n v="181.57086200000001"/>
    <n v="35264500"/>
  </r>
  <r>
    <x v="8616"/>
    <n v="185.029999"/>
    <n v="186.60000600000001"/>
    <n v="183.490005"/>
    <x v="4843"/>
    <n v="180.31399500000001"/>
    <n v="26799100"/>
  </r>
  <r>
    <x v="8617"/>
    <n v="184.80999800000001"/>
    <n v="185.85000600000001"/>
    <n v="183.94000199999999"/>
    <x v="4914"/>
    <n v="182.81506300000001"/>
    <n v="31261300"/>
  </r>
  <r>
    <x v="8618"/>
    <n v="185.39999399999999"/>
    <n v="186.66999799999999"/>
    <n v="183.28999300000001"/>
    <x v="4915"/>
    <n v="180.619202"/>
    <n v="29119500"/>
  </r>
  <r>
    <x v="8619"/>
    <n v="183.19000199999999"/>
    <n v="184.46000699999999"/>
    <n v="182.53999300000001"/>
    <x v="4916"/>
    <n v="180.69798299999999"/>
    <n v="20826900"/>
  </r>
  <r>
    <x v="8620"/>
    <n v="186.33999600000001"/>
    <n v="186.5"/>
    <n v="181.10000600000001"/>
    <x v="4917"/>
    <n v="178.78774999999999"/>
    <n v="36073600"/>
  </r>
  <r>
    <x v="8621"/>
    <n v="180.199997"/>
    <n v="181.990005"/>
    <n v="176.60000600000001"/>
    <x v="4918"/>
    <n v="179.02406300000001"/>
    <n v="39517100"/>
  </r>
  <r>
    <x v="8622"/>
    <n v="180.740005"/>
    <n v="184.14999399999999"/>
    <n v="180.38000500000001"/>
    <x v="4919"/>
    <n v="178.62034600000001"/>
    <n v="33810200"/>
  </r>
  <r>
    <x v="8623"/>
    <n v="182.729996"/>
    <n v="184.270004"/>
    <n v="180.41000399999999"/>
    <x v="4920"/>
    <n v="180.44198600000001"/>
    <n v="42130400"/>
  </r>
  <r>
    <x v="8624"/>
    <n v="182.53999300000001"/>
    <n v="183"/>
    <n v="181.46000699999999"/>
    <x v="4921"/>
    <n v="180.02844200000001"/>
    <n v="22622400"/>
  </r>
  <r>
    <x v="8625"/>
    <n v="184.25"/>
    <n v="185"/>
    <n v="181.35000600000001"/>
    <x v="4913"/>
    <n v="182.07655299999999"/>
    <n v="30794600"/>
  </r>
  <r>
    <x v="8626"/>
    <n v="184.820007"/>
    <n v="185.94000199999999"/>
    <n v="183.58000200000001"/>
    <x v="4922"/>
    <n v="182.51965300000001"/>
    <n v="27311000"/>
  </r>
  <r>
    <x v="8627"/>
    <n v="184.300003"/>
    <n v="185.83999600000001"/>
    <n v="182.300003"/>
    <x v="4923"/>
    <n v="180.11705000000001"/>
    <n v="28761800"/>
  </r>
  <r>
    <x v="8628"/>
    <n v="182.61999499999999"/>
    <n v="187.729996"/>
    <n v="182.009995"/>
    <x v="4924"/>
    <n v="184.33145099999999"/>
    <n v="39893600"/>
  </r>
  <r>
    <x v="8629"/>
    <n v="185.94000199999999"/>
    <n v="188.550003"/>
    <n v="184.44000199999999"/>
    <x v="4925"/>
    <n v="185.47369399999999"/>
    <n v="33211600"/>
  </r>
  <r>
    <x v="8630"/>
    <n v="188"/>
    <n v="190.699997"/>
    <n v="187.259995"/>
    <x v="4926"/>
    <n v="186.89163199999999"/>
    <n v="29783900"/>
  </r>
  <r>
    <x v="8631"/>
    <n v="191.13000500000001"/>
    <n v="198.520004"/>
    <n v="191.009995"/>
    <x v="4927"/>
    <n v="193.823746"/>
    <n v="43872300"/>
  </r>
  <r>
    <x v="8632"/>
    <n v="193.13000500000001"/>
    <n v="195.759995"/>
    <n v="186.070007"/>
    <x v="4928"/>
    <n v="183.41572600000001"/>
    <n v="52854700"/>
  </r>
  <r>
    <x v="8633"/>
    <n v="190.53999300000001"/>
    <n v="191.720001"/>
    <n v="185.179993"/>
    <x v="4929"/>
    <n v="184.86320499999999"/>
    <n v="43373600"/>
  </r>
  <r>
    <x v="8634"/>
    <n v="184.58000200000001"/>
    <n v="190.820007"/>
    <n v="184.009995"/>
    <x v="4930"/>
    <n v="186.044815"/>
    <n v="32770200"/>
  </r>
  <r>
    <x v="8635"/>
    <n v="192.88999899999999"/>
    <n v="195.58000200000001"/>
    <n v="191.46000699999999"/>
    <x v="4931"/>
    <n v="190.60386700000001"/>
    <n v="42556700"/>
  </r>
  <r>
    <x v="8636"/>
    <n v="195.029999"/>
    <n v="196.320007"/>
    <n v="193.69000199999999"/>
    <x v="4932"/>
    <n v="191.26359600000001"/>
    <n v="25687800"/>
  </r>
  <r>
    <x v="8637"/>
    <n v="194"/>
    <n v="196.490005"/>
    <n v="194"/>
    <x v="4933"/>
    <n v="193.31170700000001"/>
    <n v="23061600"/>
  </r>
  <r>
    <x v="8638"/>
    <n v="198.58999600000001"/>
    <n v="199.28999300000001"/>
    <n v="194.36999499999999"/>
    <x v="4934"/>
    <n v="192.159637"/>
    <n v="44441100"/>
  </r>
  <r>
    <x v="8639"/>
    <n v="195.78999300000001"/>
    <n v="200.759995"/>
    <n v="195.229996"/>
    <x v="4935"/>
    <n v="197.49659700000001"/>
    <n v="32818900"/>
  </r>
  <r>
    <x v="8640"/>
    <n v="202.08999600000001"/>
    <n v="203.949997"/>
    <n v="201.429993"/>
    <x v="4936"/>
    <n v="198.81603999999999"/>
    <n v="30917400"/>
  </r>
  <r>
    <x v="8641"/>
    <n v="201.60000600000001"/>
    <n v="203.25"/>
    <n v="196.55999800000001"/>
    <x v="4937"/>
    <n v="194.808426"/>
    <n v="36740600"/>
  </r>
  <r>
    <x v="8642"/>
    <n v="197.800003"/>
    <n v="200.61000100000001"/>
    <n v="195.470001"/>
    <x v="4938"/>
    <n v="197.27011100000001"/>
    <n v="27803900"/>
  </r>
  <r>
    <x v="8643"/>
    <n v="199.729996"/>
    <n v="199.88999899999999"/>
    <n v="194.88000500000001"/>
    <x v="4939"/>
    <n v="193.32157900000001"/>
    <n v="54675800"/>
  </r>
  <r>
    <x v="8644"/>
    <n v="195.779999"/>
    <n v="198.529999"/>
    <n v="193.550003"/>
    <x v="4940"/>
    <n v="195.39923099999999"/>
    <n v="26701600"/>
  </r>
  <r>
    <x v="8645"/>
    <n v="197.88000500000001"/>
    <n v="204.39999399999999"/>
    <n v="197.740005"/>
    <x v="4941"/>
    <n v="200.39154099999999"/>
    <n v="34310300"/>
  </r>
  <r>
    <x v="8646"/>
    <n v="203.13999899999999"/>
    <n v="206.35000600000001"/>
    <n v="201.770004"/>
    <x v="4942"/>
    <n v="201.563309"/>
    <n v="32061200"/>
  </r>
  <r>
    <x v="8647"/>
    <n v="205.679993"/>
    <n v="208.020004"/>
    <n v="205"/>
    <x v="4943"/>
    <n v="203.09938"/>
    <n v="29315800"/>
  </r>
  <r>
    <x v="8648"/>
    <n v="208.83000200000001"/>
    <n v="211.13000500000001"/>
    <n v="208.08999600000001"/>
    <x v="4944"/>
    <n v="207.47134399999999"/>
    <n v="31897600"/>
  </r>
  <r>
    <x v="8649"/>
    <n v="210.449997"/>
    <n v="214.66999799999999"/>
    <n v="207.990005"/>
    <x v="4945"/>
    <n v="205.058899"/>
    <n v="33600700"/>
  </r>
  <r>
    <x v="8650"/>
    <n v="210.070007"/>
    <n v="213.259995"/>
    <n v="208.69000199999999"/>
    <x v="4946"/>
    <n v="209.56874099999999"/>
    <n v="33600000"/>
  </r>
  <r>
    <x v="8651"/>
    <n v="216.33000200000001"/>
    <n v="216.38000500000001"/>
    <n v="211.470001"/>
    <x v="4947"/>
    <n v="211.035889"/>
    <n v="33121700"/>
  </r>
  <r>
    <x v="8652"/>
    <n v="213.61999499999999"/>
    <n v="214.08000200000001"/>
    <n v="211.08000200000001"/>
    <x v="4948"/>
    <n v="210.395859"/>
    <n v="26177600"/>
  </r>
  <r>
    <x v="8653"/>
    <n v="214.479996"/>
    <n v="215.800003"/>
    <n v="206.5"/>
    <x v="4949"/>
    <n v="203.89698799999999"/>
    <n v="38135600"/>
  </r>
  <r>
    <x v="8654"/>
    <n v="206.13000500000001"/>
    <n v="208.85000600000001"/>
    <n v="202.029999"/>
    <x v="4950"/>
    <n v="205.15739400000001"/>
    <n v="37591800"/>
  </r>
  <r>
    <x v="8655"/>
    <n v="209.55999800000001"/>
    <n v="211.33000200000001"/>
    <n v="205.029999"/>
    <x v="4951"/>
    <n v="204.85209699999999"/>
    <n v="32179400"/>
  </r>
  <r>
    <x v="8656"/>
    <n v="205.39999399999999"/>
    <n v="205.699997"/>
    <n v="202.30999800000001"/>
    <x v="4952"/>
    <n v="200.79525799999999"/>
    <n v="29940700"/>
  </r>
  <r>
    <x v="8657"/>
    <n v="204.470001"/>
    <n v="205.03999300000001"/>
    <n v="201.38999899999999"/>
    <x v="4953"/>
    <n v="199.77121"/>
    <n v="31635300"/>
  </r>
  <r>
    <x v="8658"/>
    <n v="205"/>
    <n v="212.300003"/>
    <n v="203.009995"/>
    <x v="4954"/>
    <n v="208.35758999999999"/>
    <n v="36884800"/>
  </r>
  <r>
    <x v="8659"/>
    <n v="213.66000399999999"/>
    <n v="213.94000199999999"/>
    <n v="208.029999"/>
    <x v="4955"/>
    <n v="205.55123900000001"/>
    <n v="37990400"/>
  </r>
  <r>
    <x v="8660"/>
    <n v="209.199997"/>
    <n v="212.300003"/>
    <n v="208.38999899999999"/>
    <x v="4956"/>
    <n v="208.50528"/>
    <n v="49605700"/>
  </r>
  <r>
    <x v="8661"/>
    <n v="207.19000199999999"/>
    <n v="210.91999799999999"/>
    <n v="202.14999399999999"/>
    <x v="4957"/>
    <n v="199.43640099999999"/>
    <n v="67457000"/>
  </r>
  <r>
    <x v="8662"/>
    <n v="200.41999799999999"/>
    <n v="202.86000100000001"/>
    <n v="197.509995"/>
    <x v="4958"/>
    <n v="198.21539300000001"/>
    <n v="39827000"/>
  </r>
  <r>
    <x v="8663"/>
    <n v="201.470001"/>
    <n v="203.970001"/>
    <n v="200.86000100000001"/>
    <x v="4959"/>
    <n v="200.72633400000001"/>
    <n v="30160900"/>
  </r>
  <r>
    <x v="8664"/>
    <n v="203.61000100000001"/>
    <n v="204.699997"/>
    <n v="201.740005"/>
    <x v="4960"/>
    <n v="198.92437699999999"/>
    <n v="23251400"/>
  </r>
  <r>
    <x v="8665"/>
    <n v="202.5"/>
    <n v="204.64999399999999"/>
    <n v="202.009995"/>
    <x v="4961"/>
    <n v="200.93310500000001"/>
    <n v="19632600"/>
  </r>
  <r>
    <x v="8666"/>
    <n v="201"/>
    <n v="204.46000699999999"/>
    <n v="199.570007"/>
    <x v="4962"/>
    <n v="200.77555799999999"/>
    <n v="25079600"/>
  </r>
  <r>
    <x v="8667"/>
    <n v="204.39999399999999"/>
    <n v="205.10000600000001"/>
    <n v="199.009995"/>
    <x v="4963"/>
    <n v="201.86854600000001"/>
    <n v="51044000"/>
  </r>
  <r>
    <x v="8668"/>
    <n v="211.520004"/>
    <n v="217.63999899999999"/>
    <n v="210.44000199999999"/>
    <x v="4964"/>
    <n v="213.221878"/>
    <n v="78983000"/>
  </r>
  <r>
    <x v="8669"/>
    <n v="214.16999799999999"/>
    <n v="214.770004"/>
    <n v="210.30999800000001"/>
    <x v="4965"/>
    <n v="210.021683"/>
    <n v="49280100"/>
  </r>
  <r>
    <x v="8670"/>
    <n v="214.89999399999999"/>
    <n v="215"/>
    <n v="211.570007"/>
    <x v="4966"/>
    <n v="209.677032"/>
    <n v="28806400"/>
  </r>
  <r>
    <x v="8671"/>
    <n v="212.33999600000001"/>
    <n v="216.36999499999999"/>
    <n v="211.550003"/>
    <x v="4967"/>
    <n v="213.03478999999999"/>
    <n v="32656800"/>
  </r>
  <r>
    <x v="8672"/>
    <n v="214.85000600000001"/>
    <n v="215.699997"/>
    <n v="210.929993"/>
    <x v="4968"/>
    <n v="209.22406000000001"/>
    <n v="27820400"/>
  </r>
  <r>
    <x v="8673"/>
    <n v="211.66999799999999"/>
    <n v="211.88000500000001"/>
    <n v="206.35000600000001"/>
    <x v="4945"/>
    <n v="205.058899"/>
    <n v="36716500"/>
  </r>
  <r>
    <x v="8674"/>
    <n v="207.16000399999999"/>
    <n v="207.64999399999999"/>
    <n v="203.13999899999999"/>
    <x v="4969"/>
    <n v="200.26355000000001"/>
    <n v="36446500"/>
  </r>
  <r>
    <x v="8675"/>
    <n v="205.28999300000001"/>
    <n v="210.279999"/>
    <n v="204.75"/>
    <x v="4970"/>
    <n v="205.984512"/>
    <n v="28013100"/>
  </r>
  <r>
    <x v="8676"/>
    <n v="209.44000199999999"/>
    <n v="211.35000600000001"/>
    <n v="208.14999399999999"/>
    <x v="4971"/>
    <n v="205.50199900000001"/>
    <n v="22588900"/>
  </r>
  <r>
    <x v="8677"/>
    <n v="208.759995"/>
    <n v="209.58999600000001"/>
    <n v="207.509995"/>
    <x v="4972"/>
    <n v="205.69894400000001"/>
    <n v="17958900"/>
  </r>
  <r>
    <x v="8678"/>
    <n v="209.60000600000001"/>
    <n v="211.19000199999999"/>
    <n v="208.91999799999999"/>
    <x v="4973"/>
    <n v="207.057816"/>
    <n v="20184800"/>
  </r>
  <r>
    <x v="8679"/>
    <n v="210.529999"/>
    <n v="212.36000100000001"/>
    <n v="209.21000699999999"/>
    <x v="4974"/>
    <n v="208.249268"/>
    <n v="21336200"/>
  </r>
  <r>
    <x v="8680"/>
    <n v="211.490005"/>
    <n v="212.10000600000001"/>
    <n v="209.25"/>
    <x v="4975"/>
    <n v="206.98582500000001"/>
    <n v="27627600"/>
  </r>
  <r>
    <x v="8681"/>
    <n v="209.53999300000001"/>
    <n v="215"/>
    <n v="208.91000399999999"/>
    <x v="4976"/>
    <n v="211.802673"/>
    <n v="26981500"/>
  </r>
  <r>
    <x v="8682"/>
    <n v="213.86000100000001"/>
    <n v="216.25"/>
    <n v="212.85000600000001"/>
    <x v="4977"/>
    <n v="210.26286300000001"/>
    <n v="36249300"/>
  </r>
  <r>
    <x v="8683"/>
    <n v="214.78999300000001"/>
    <n v="215.520004"/>
    <n v="212.429993"/>
    <x v="4978"/>
    <n v="210.924194"/>
    <n v="25460100"/>
  </r>
  <r>
    <x v="8684"/>
    <n v="213.10000600000001"/>
    <n v="216.61000100000001"/>
    <n v="213.10000600000001"/>
    <x v="4979"/>
    <n v="213.66819799999999"/>
    <n v="23043700"/>
  </r>
  <r>
    <x v="8685"/>
    <n v="217.88000500000001"/>
    <n v="222.08999600000001"/>
    <n v="217.36000100000001"/>
    <x v="4980"/>
    <n v="218.28762800000001"/>
    <n v="39600800"/>
  </r>
  <r>
    <x v="8686"/>
    <n v="222.88999899999999"/>
    <n v="231.14999399999999"/>
    <n v="219.39999399999999"/>
    <x v="4981"/>
    <n v="223.64735400000001"/>
    <n v="57602200"/>
  </r>
  <r>
    <x v="8687"/>
    <n v="228.179993"/>
    <n v="230.63999899999999"/>
    <n v="226.58000200000001"/>
    <x v="4982"/>
    <n v="225.94718900000001"/>
    <n v="26292900"/>
  </r>
  <r>
    <x v="8688"/>
    <n v="227"/>
    <n v="228.699997"/>
    <n v="224.30999800000001"/>
    <x v="4983"/>
    <n v="222.61094700000001"/>
    <n v="28774200"/>
  </r>
  <r>
    <x v="8689"/>
    <n v="225.509995"/>
    <n v="227.449997"/>
    <n v="224.429993"/>
    <x v="4984"/>
    <n v="224.32843"/>
    <n v="25725500"/>
  </r>
  <r>
    <x v="8690"/>
    <n v="227.970001"/>
    <n v="232.86000100000001"/>
    <n v="227.35000600000001"/>
    <x v="4985"/>
    <n v="228.651703"/>
    <n v="34080800"/>
  </r>
  <r>
    <x v="8691"/>
    <n v="229.270004"/>
    <n v="229.30999800000001"/>
    <n v="214.96000699999999"/>
    <x v="4986"/>
    <n v="214.48747299999999"/>
    <n v="58400300"/>
  </r>
  <r>
    <x v="8692"/>
    <n v="215.10000600000001"/>
    <n v="218.36000100000001"/>
    <n v="205.19000199999999"/>
    <x v="4987"/>
    <n v="211.47695899999999"/>
    <n v="59664100"/>
  </r>
  <r>
    <x v="8693"/>
    <n v="206.5"/>
    <n v="210.029999"/>
    <n v="202.199997"/>
    <x v="4988"/>
    <n v="200.036957"/>
    <n v="52924300"/>
  </r>
  <r>
    <x v="8694"/>
    <n v="207.60000600000001"/>
    <n v="214.83999600000001"/>
    <n v="206.699997"/>
    <x v="4989"/>
    <n v="208.555252"/>
    <n v="45679000"/>
  </r>
  <r>
    <x v="8695"/>
    <n v="213.39999399999999"/>
    <n v="214.740005"/>
    <n v="204.11000100000001"/>
    <x v="4990"/>
    <n v="202.71186800000001"/>
    <n v="35461500"/>
  </r>
  <r>
    <x v="8696"/>
    <n v="207.199997"/>
    <n v="208.63000500000001"/>
    <n v="201.240005"/>
    <x v="4991"/>
    <n v="201.38922099999999"/>
    <n v="33620100"/>
  </r>
  <r>
    <x v="8697"/>
    <n v="204.240005"/>
    <n v="209.199997"/>
    <n v="204.029999"/>
    <x v="4992"/>
    <n v="202.75138899999999"/>
    <n v="30375800"/>
  </r>
  <r>
    <x v="8698"/>
    <n v="208.41999799999999"/>
    <n v="209.779999"/>
    <n v="206.929993"/>
    <x v="4993"/>
    <n v="206.077744"/>
    <n v="21823900"/>
  </r>
  <r>
    <x v="8699"/>
    <n v="210.61999499999999"/>
    <n v="210.64999399999999"/>
    <n v="204.63999899999999"/>
    <x v="4994"/>
    <n v="202.39601099999999"/>
    <n v="26328100"/>
  </r>
  <r>
    <x v="8700"/>
    <n v="200.050003"/>
    <n v="204.33000200000001"/>
    <n v="199.96000699999999"/>
    <x v="4995"/>
    <n v="200.283737"/>
    <n v="34011300"/>
  </r>
  <r>
    <x v="8701"/>
    <n v="202.800003"/>
    <n v="203.64999399999999"/>
    <n v="196.25"/>
    <x v="4996"/>
    <n v="197.79632599999999"/>
    <n v="55225300"/>
  </r>
  <r>
    <x v="8702"/>
    <n v="197.19000199999999"/>
    <n v="202.71000699999999"/>
    <n v="196.38000500000001"/>
    <x v="4957"/>
    <n v="199.91850299999999"/>
    <n v="39839700"/>
  </r>
  <r>
    <x v="8703"/>
    <n v="205.05999800000001"/>
    <n v="208.10000600000001"/>
    <n v="202.08000200000001"/>
    <x v="4997"/>
    <n v="204.735321"/>
    <n v="33517100"/>
  </r>
  <r>
    <x v="8704"/>
    <n v="207.89999399999999"/>
    <n v="208.10000600000001"/>
    <n v="200.029999"/>
    <x v="4998"/>
    <n v="197.99374399999999"/>
    <n v="30803800"/>
  </r>
  <r>
    <x v="8705"/>
    <n v="199.85000600000001"/>
    <n v="205.570007"/>
    <n v="199.199997"/>
    <x v="4999"/>
    <n v="200.560089"/>
    <n v="31202500"/>
  </r>
  <r>
    <x v="8706"/>
    <n v="203.550003"/>
    <n v="209.03999300000001"/>
    <n v="202.53999300000001"/>
    <x v="5000"/>
    <n v="205.13017300000001"/>
    <n v="29437300"/>
  </r>
  <r>
    <x v="8707"/>
    <n v="210.88000500000001"/>
    <n v="212.570007"/>
    <n v="208.05999800000001"/>
    <x v="5001"/>
    <n v="206.72920199999999"/>
    <n v="32004900"/>
  </r>
  <r>
    <x v="8708"/>
    <n v="209.35000600000001"/>
    <n v="210.070007"/>
    <n v="206.80999800000001"/>
    <x v="5002"/>
    <n v="204.57740799999999"/>
    <n v="24221900"/>
  </r>
  <r>
    <x v="8709"/>
    <n v="207.729996"/>
    <n v="211.979996"/>
    <n v="206.53999300000001"/>
    <x v="5003"/>
    <n v="207.60768100000001"/>
    <n v="33829100"/>
  </r>
  <r>
    <x v="8710"/>
    <n v="213.490005"/>
    <n v="213.990005"/>
    <n v="211.320007"/>
    <x v="5004"/>
    <n v="209.710114"/>
    <n v="27158400"/>
  </r>
  <r>
    <x v="8711"/>
    <n v="208"/>
    <n v="210.990005"/>
    <n v="205.53999300000001"/>
    <x v="5005"/>
    <n v="203.521255"/>
    <n v="33154800"/>
  </r>
  <r>
    <x v="8712"/>
    <n v="207.220001"/>
    <n v="210.41000399999999"/>
    <n v="206.979996"/>
    <x v="5006"/>
    <n v="207.65704299999999"/>
    <n v="21331600"/>
  </r>
  <r>
    <x v="8713"/>
    <n v="208.820007"/>
    <n v="210.179993"/>
    <n v="204.820007"/>
    <x v="5007"/>
    <n v="203.244888"/>
    <n v="28554300"/>
  </r>
  <r>
    <x v="8714"/>
    <n v="207.05999800000001"/>
    <n v="210.11000100000001"/>
    <n v="206.720001"/>
    <x v="5008"/>
    <n v="207.11415099999999"/>
    <n v="25681100"/>
  </r>
  <r>
    <x v="8715"/>
    <n v="210.509995"/>
    <n v="211.19000199999999"/>
    <n v="208.320007"/>
    <x v="5009"/>
    <n v="207.85443100000001"/>
    <n v="19925800"/>
  </r>
  <r>
    <x v="8716"/>
    <n v="211.229996"/>
    <n v="215.86000100000001"/>
    <n v="211.229996"/>
    <x v="5010"/>
    <n v="213.016739"/>
    <n v="26458000"/>
  </r>
  <r>
    <x v="8717"/>
    <n v="218.78999300000001"/>
    <n v="223.86000100000001"/>
    <n v="216.80999800000001"/>
    <x v="5011"/>
    <n v="218.534378"/>
    <n v="40461400"/>
  </r>
  <r>
    <x v="8718"/>
    <n v="222.720001"/>
    <n v="225.21000699999999"/>
    <n v="220.429993"/>
    <x v="5012"/>
    <n v="219.975494"/>
    <n v="28950800"/>
  </r>
  <r>
    <x v="8719"/>
    <n v="223"/>
    <n v="224.220001"/>
    <n v="219.13000500000001"/>
    <x v="5013"/>
    <n v="218.00138899999999"/>
    <n v="23421700"/>
  </r>
  <r>
    <x v="8720"/>
    <n v="217.10000600000001"/>
    <n v="220.36000100000001"/>
    <n v="216.009995"/>
    <x v="5014"/>
    <n v="216.81691000000001"/>
    <n v="22733100"/>
  </r>
  <r>
    <x v="8721"/>
    <n v="220.14999399999999"/>
    <n v="222.28999300000001"/>
    <n v="219.320007"/>
    <x v="5014"/>
    <n v="216.81691000000001"/>
    <n v="26057900"/>
  </r>
  <r>
    <x v="8722"/>
    <n v="220.41999799999999"/>
    <n v="222.300003"/>
    <n v="213.720001"/>
    <x v="5015"/>
    <n v="211.447327"/>
    <n v="27625800"/>
  </r>
  <r>
    <x v="8723"/>
    <n v="215.800003"/>
    <n v="217.36999499999999"/>
    <n v="213.08999600000001"/>
    <x v="5016"/>
    <n v="211.87174999999999"/>
    <n v="22753500"/>
  </r>
  <r>
    <x v="8724"/>
    <n v="213.11999499999999"/>
    <n v="216.91999799999999"/>
    <n v="213.11999499999999"/>
    <x v="5017"/>
    <n v="212.01982100000001"/>
    <n v="22724900"/>
  </r>
  <r>
    <x v="8725"/>
    <n v="213.929993"/>
    <n v="216.05999800000001"/>
    <n v="211.699997"/>
    <x v="5018"/>
    <n v="212.10865799999999"/>
    <n v="22351500"/>
  </r>
  <r>
    <x v="8726"/>
    <n v="215.029999"/>
    <n v="216.279999"/>
    <n v="213.16000399999999"/>
    <x v="5019"/>
    <n v="213.43130500000001"/>
    <n v="18879600"/>
  </r>
  <r>
    <x v="8727"/>
    <n v="213.85000600000001"/>
    <n v="216.33999600000001"/>
    <n v="208.10000600000001"/>
    <x v="5020"/>
    <n v="207.36093099999999"/>
    <n v="37111600"/>
  </r>
  <r>
    <x v="8728"/>
    <n v="211.58999600000001"/>
    <n v="214.66999799999999"/>
    <n v="210.33000200000001"/>
    <x v="5021"/>
    <n v="210.489868"/>
    <n v="36700300"/>
  </r>
  <r>
    <x v="8729"/>
    <n v="207.66999799999999"/>
    <n v="208.83999600000001"/>
    <n v="202.10000600000001"/>
    <x v="5022"/>
    <n v="200.05668600000001"/>
    <n v="51195600"/>
  </r>
  <r>
    <x v="8730"/>
    <n v="204.070007"/>
    <n v="207.36000100000001"/>
    <n v="203.36999499999999"/>
    <x v="5023"/>
    <n v="202.070267"/>
    <n v="31432600"/>
  </r>
  <r>
    <x v="8731"/>
    <n v="203.5"/>
    <n v="204.28999300000001"/>
    <n v="199.61999499999999"/>
    <x v="5024"/>
    <n v="199.84939600000001"/>
    <n v="36953700"/>
  </r>
  <r>
    <x v="8732"/>
    <n v="204.28999300000001"/>
    <n v="205.279999"/>
    <n v="200.11999499999999"/>
    <x v="5025"/>
    <n v="199.71122700000001"/>
    <n v="30842200"/>
  </r>
  <r>
    <x v="8733"/>
    <n v="203.88999899999999"/>
    <n v="208.11999499999999"/>
    <n v="203.11999499999999"/>
    <x v="5026"/>
    <n v="203.75814800000001"/>
    <n v="27512000"/>
  </r>
  <r>
    <x v="8734"/>
    <n v="214.020004"/>
    <n v="218.320007"/>
    <n v="212.41999799999999"/>
    <x v="5027"/>
    <n v="213.589249"/>
    <n v="42311800"/>
  </r>
  <r>
    <x v="8735"/>
    <n v="222.03999300000001"/>
    <n v="224.11999499999999"/>
    <n v="221.14999399999999"/>
    <x v="5028"/>
    <n v="220.399933"/>
    <n v="36080100"/>
  </r>
  <r>
    <x v="8736"/>
    <n v="222.259995"/>
    <n v="224.36000100000001"/>
    <n v="218.029999"/>
    <x v="5029"/>
    <n v="220.82437100000001"/>
    <n v="25231900"/>
  </r>
  <r>
    <x v="8737"/>
    <n v="224.44000199999999"/>
    <n v="228.11999499999999"/>
    <n v="217.88000500000001"/>
    <x v="5030"/>
    <n v="215.563354"/>
    <n v="44395000"/>
  </r>
  <r>
    <x v="8738"/>
    <n v="214.5"/>
    <n v="216.5"/>
    <n v="209.720001"/>
    <x v="5031"/>
    <n v="208.27887000000001"/>
    <n v="44045100"/>
  </r>
  <r>
    <x v="8739"/>
    <n v="212.38999899999999"/>
    <n v="218.03999300000001"/>
    <n v="212.199997"/>
    <x v="5032"/>
    <n v="213.747162"/>
    <n v="29440800"/>
  </r>
  <r>
    <x v="8740"/>
    <n v="217.21000699999999"/>
    <n v="219.11000100000001"/>
    <n v="214.46000699999999"/>
    <x v="5033"/>
    <n v="212.651535"/>
    <n v="21593900"/>
  </r>
  <r>
    <x v="8741"/>
    <n v="216.36000100000001"/>
    <n v="217.41999799999999"/>
    <n v="214.16000399999999"/>
    <x v="5034"/>
    <n v="213.707672"/>
    <n v="18621100"/>
  </r>
  <r>
    <x v="8742"/>
    <n v="214.86999499999999"/>
    <n v="217.740005"/>
    <n v="214.520004"/>
    <x v="5035"/>
    <n v="214.41838100000001"/>
    <n v="24953300"/>
  </r>
  <r>
    <x v="8743"/>
    <n v="216.10000600000001"/>
    <n v="217.679993"/>
    <n v="214.08000200000001"/>
    <x v="5036"/>
    <n v="211.684235"/>
    <n v="24154100"/>
  </r>
  <r>
    <x v="8744"/>
    <n v="213.64999399999999"/>
    <n v="215.16999799999999"/>
    <n v="210.929993"/>
    <x v="5037"/>
    <n v="208.89344800000001"/>
    <n v="28372800"/>
  </r>
  <r>
    <x v="8745"/>
    <n v="211.38000500000001"/>
    <n v="213.029999"/>
    <n v="209.929993"/>
    <x v="5038"/>
    <n v="210.219559"/>
    <n v="24792700"/>
  </r>
  <r>
    <x v="8746"/>
    <n v="212.199997"/>
    <n v="213.28999300000001"/>
    <n v="210"/>
    <x v="5039"/>
    <n v="208.21057099999999"/>
    <n v="22843100"/>
  </r>
  <r>
    <x v="8747"/>
    <n v="210.949997"/>
    <n v="212.28999300000001"/>
    <n v="208.16000399999999"/>
    <x v="5040"/>
    <n v="207.93347199999999"/>
    <n v="25683500"/>
  </r>
  <r>
    <x v="8748"/>
    <n v="209.58999600000001"/>
    <n v="214.25"/>
    <n v="208.86000100000001"/>
    <x v="5041"/>
    <n v="211.64463799999999"/>
    <n v="33979700"/>
  </r>
  <r>
    <x v="8749"/>
    <n v="215.11000100000001"/>
    <n v="215.28999300000001"/>
    <n v="212.46000699999999"/>
    <x v="5042"/>
    <n v="211.654526"/>
    <n v="21012900"/>
  </r>
  <r>
    <x v="8750"/>
    <n v="214.85000600000001"/>
    <n v="216.270004"/>
    <n v="214.03999300000001"/>
    <x v="5043"/>
    <n v="213.000427"/>
    <n v="14512200"/>
  </r>
  <r>
    <x v="8751"/>
    <n v="214.10000600000001"/>
    <n v="214.759995"/>
    <n v="210.83999600000001"/>
    <x v="5044"/>
    <n v="211.85247799999999"/>
    <n v="33064800"/>
  </r>
  <r>
    <x v="8752"/>
    <n v="214.509995"/>
    <n v="217.320007"/>
    <n v="213.35000600000001"/>
    <x v="5045"/>
    <n v="213.970291"/>
    <n v="30904500"/>
  </r>
  <r>
    <x v="8753"/>
    <n v="214.88000500000001"/>
    <n v="215.470001"/>
    <n v="212.800003"/>
    <x v="5046"/>
    <n v="213.13900799999999"/>
    <n v="23724500"/>
  </r>
  <r>
    <x v="8754"/>
    <n v="214.61000100000001"/>
    <n v="216.38000500000001"/>
    <n v="213.64999399999999"/>
    <x v="5047"/>
    <n v="212.02070599999999"/>
    <n v="25120900"/>
  </r>
  <r>
    <x v="8755"/>
    <n v="214.220001"/>
    <n v="215.38000500000001"/>
    <n v="213.179993"/>
    <x v="5048"/>
    <n v="212.13945000000001"/>
    <n v="24666000"/>
  </r>
  <r>
    <x v="8756"/>
    <n v="214.36999499999999"/>
    <n v="215.53999300000001"/>
    <n v="212.990005"/>
    <x v="5049"/>
    <n v="212.07015999999999"/>
    <n v="24620000"/>
  </r>
  <r>
    <x v="8757"/>
    <n v="213.970001"/>
    <n v="216.949997"/>
    <n v="212.88999899999999"/>
    <x v="5050"/>
    <n v="213.77235400000001"/>
    <n v="23284100"/>
  </r>
  <r>
    <x v="8758"/>
    <n v="215.16000399999999"/>
    <n v="215.229996"/>
    <n v="211.21000699999999"/>
    <x v="5051"/>
    <n v="209.605988"/>
    <n v="32440600"/>
  </r>
  <r>
    <x v="8759"/>
    <n v="211.770004"/>
    <n v="213.08000200000001"/>
    <n v="210.36000100000001"/>
    <x v="5052"/>
    <n v="208.339249"/>
    <n v="26733300"/>
  </r>
  <r>
    <x v="8760"/>
    <n v="210.050003"/>
    <n v="213.320007"/>
    <n v="209.11000100000001"/>
    <x v="5053"/>
    <n v="211.05084199999999"/>
    <n v="30979400"/>
  </r>
  <r>
    <x v="8761"/>
    <n v="213.10000600000001"/>
    <n v="216.21000699999999"/>
    <n v="212.88000500000001"/>
    <x v="5054"/>
    <n v="211.98111"/>
    <n v="28798400"/>
  </r>
  <r>
    <x v="8762"/>
    <n v="215.16999799999999"/>
    <n v="215.41999799999999"/>
    <n v="212.240005"/>
    <x v="5055"/>
    <n v="211.91184999999999"/>
    <n v="27000600"/>
  </r>
  <r>
    <x v="8763"/>
    <n v="214.75"/>
    <n v="220.11000100000001"/>
    <n v="214.720001"/>
    <x v="5056"/>
    <n v="217.00848400000001"/>
    <n v="35023300"/>
  </r>
  <r>
    <x v="8764"/>
    <n v="219.86999499999999"/>
    <n v="220.88999899999999"/>
    <n v="217.91999799999999"/>
    <x v="5057"/>
    <n v="217.14703399999999"/>
    <n v="32515800"/>
  </r>
  <r>
    <x v="8765"/>
    <n v="218.58999600000001"/>
    <n v="219.69000199999999"/>
    <n v="216.020004"/>
    <x v="5058"/>
    <n v="216.325638"/>
    <n v="63354900"/>
  </r>
  <r>
    <x v="8766"/>
    <n v="217.550003"/>
    <n v="224"/>
    <n v="217.279999"/>
    <x v="5059"/>
    <n v="220.28419500000001"/>
    <n v="37181900"/>
  </r>
  <r>
    <x v="8767"/>
    <n v="222.69000199999999"/>
    <n v="225.63000500000001"/>
    <n v="221.85000600000001"/>
    <x v="5060"/>
    <n v="221.62022400000001"/>
    <n v="22612200"/>
  </r>
  <r>
    <x v="8768"/>
    <n v="223.11000100000001"/>
    <n v="223.55999800000001"/>
    <n v="220.800003"/>
    <x v="5061"/>
    <n v="218.730469"/>
    <n v="18699600"/>
  </r>
  <r>
    <x v="8769"/>
    <n v="221.41999799999999"/>
    <n v="223.61000100000001"/>
    <n v="221.199997"/>
    <x v="5062"/>
    <n v="220.442566"/>
    <n v="10550600"/>
  </r>
  <r>
    <x v="8770"/>
    <n v="224.449997"/>
    <n v="226.029999"/>
    <n v="223.020004"/>
    <x v="5063"/>
    <n v="222.62965399999999"/>
    <n v="17933500"/>
  </r>
  <r>
    <x v="8771"/>
    <n v="226.30999800000001"/>
    <n v="227.179993"/>
    <n v="223.58000200000001"/>
    <x v="5064"/>
    <n v="221.82804899999999"/>
    <n v="17403200"/>
  </r>
  <r>
    <x v="8772"/>
    <n v="225.229996"/>
    <n v="225.63000500000001"/>
    <n v="221.470001"/>
    <x v="5065"/>
    <n v="219.38362100000001"/>
    <n v="20272300"/>
  </r>
  <r>
    <x v="8773"/>
    <n v="221.699997"/>
    <n v="223"/>
    <n v="219.679993"/>
    <x v="5066"/>
    <n v="220.11596700000001"/>
    <n v="20942100"/>
  </r>
  <r>
    <x v="8774"/>
    <n v="222.529999"/>
    <n v="223"/>
    <n v="214.80999800000001"/>
    <x v="5067"/>
    <n v="215.43495200000001"/>
    <n v="37130100"/>
  </r>
  <r>
    <x v="8775"/>
    <n v="217.259995"/>
    <n v="218.520004"/>
    <n v="215.699997"/>
    <x v="5068"/>
    <n v="215.642776"/>
    <n v="23823000"/>
  </r>
  <r>
    <x v="8776"/>
    <n v="212.16999799999999"/>
    <n v="216.490005"/>
    <n v="211.94000199999999"/>
    <x v="5069"/>
    <n v="210.05131499999999"/>
    <n v="35930700"/>
  </r>
  <r>
    <x v="8777"/>
    <n v="214.03999300000001"/>
    <n v="219.33999600000001"/>
    <n v="213.71000699999999"/>
    <x v="5070"/>
    <n v="216.02874800000001"/>
    <n v="27694500"/>
  </r>
  <r>
    <x v="8778"/>
    <n v="218.679993"/>
    <n v="220.58000200000001"/>
    <n v="217.029999"/>
    <x v="5071"/>
    <n v="217.34497099999999"/>
    <n v="22956200"/>
  </r>
  <r>
    <x v="8779"/>
    <n v="218.470001"/>
    <n v="218.91000399999999"/>
    <n v="216.729996"/>
    <x v="5072"/>
    <n v="215.23703"/>
    <n v="23031300"/>
  </r>
  <r>
    <x v="8780"/>
    <n v="216.5"/>
    <n v="217.10000600000001"/>
    <n v="213.320007"/>
    <x v="5073"/>
    <n v="212.703552"/>
    <n v="23249300"/>
  </r>
  <r>
    <x v="8781"/>
    <n v="214.020004"/>
    <n v="216.759995"/>
    <n v="213.929993"/>
    <x v="5074"/>
    <n v="214.098938"/>
    <n v="20087100"/>
  </r>
  <r>
    <x v="8782"/>
    <n v="215.91000399999999"/>
    <n v="217.46000699999999"/>
    <n v="212.740005"/>
    <x v="4977"/>
    <n v="210.813354"/>
    <n v="29480800"/>
  </r>
  <r>
    <x v="8783"/>
    <n v="213.520004"/>
    <n v="214.509995"/>
    <n v="212.029999"/>
    <x v="5075"/>
    <n v="210.447159"/>
    <n v="31746500"/>
  </r>
  <r>
    <x v="8784"/>
    <n v="213.75"/>
    <n v="216.979996"/>
    <n v="212.63000500000001"/>
    <x v="5076"/>
    <n v="214.19792200000001"/>
    <n v="30480900"/>
  </r>
  <r>
    <x v="8785"/>
    <n v="217.699997"/>
    <n v="225.78999300000001"/>
    <n v="217.28999300000001"/>
    <x v="5077"/>
    <n v="222.01608300000001"/>
    <n v="37777300"/>
  </r>
  <r>
    <x v="8786"/>
    <n v="224.699997"/>
    <n v="226.300003"/>
    <n v="222.41999799999999"/>
    <x v="5078"/>
    <n v="222.639557"/>
    <n v="30709400"/>
  </r>
  <r>
    <x v="8787"/>
    <n v="227.08000200000001"/>
    <n v="230.070007"/>
    <n v="225.800003"/>
    <x v="5079"/>
    <n v="223.60938999999999"/>
    <n v="30172700"/>
  </r>
  <r>
    <x v="8788"/>
    <n v="229.11999499999999"/>
    <n v="229.779999"/>
    <n v="224.220001"/>
    <x v="5080"/>
    <n v="227.15232800000001"/>
    <n v="33152100"/>
  </r>
  <r>
    <x v="8789"/>
    <n v="231.86000100000001"/>
    <n v="234.179993"/>
    <n v="230.08000200000001"/>
    <x v="5081"/>
    <n v="229.92332500000001"/>
    <n v="49169600"/>
  </r>
  <r>
    <x v="8790"/>
    <n v="238"/>
    <n v="240.44000199999999"/>
    <n v="230.13999899999999"/>
    <x v="5082"/>
    <n v="230.48741100000001"/>
    <n v="69870600"/>
  </r>
  <r>
    <x v="8791"/>
    <n v="235.61000100000001"/>
    <n v="242.63999899999999"/>
    <n v="235.08999600000001"/>
    <x v="5083"/>
    <n v="236.454926"/>
    <n v="49111200"/>
  </r>
  <r>
    <x v="8792"/>
    <n v="235.990005"/>
    <n v="238.020004"/>
    <n v="231.35000600000001"/>
    <x v="5084"/>
    <n v="229.55715900000001"/>
    <n v="42503100"/>
  </r>
  <r>
    <x v="8793"/>
    <n v="235.05999800000001"/>
    <n v="242.5"/>
    <n v="232.429993"/>
    <x v="5085"/>
    <n v="237.16748000000001"/>
    <n v="33314200"/>
  </r>
  <r>
    <x v="8794"/>
    <n v="241.300003"/>
    <n v="242.30999800000001"/>
    <n v="238.69000199999999"/>
    <x v="5086"/>
    <n v="237.028931"/>
    <n v="25916300"/>
  </r>
  <r>
    <x v="8795"/>
    <n v="239.570007"/>
    <n v="245.08999600000001"/>
    <n v="239.259995"/>
    <x v="5087"/>
    <n v="240.482788"/>
    <n v="27158100"/>
  </r>
  <r>
    <x v="8796"/>
    <n v="242.66000399999999"/>
    <n v="243.240005"/>
    <n v="240.36999499999999"/>
    <x v="5088"/>
    <n v="239.50302099999999"/>
    <n v="25296100"/>
  </r>
  <r>
    <x v="8797"/>
    <n v="242.229996"/>
    <n v="243.279999"/>
    <n v="240.41999799999999"/>
    <x v="5089"/>
    <n v="239.69107099999999"/>
    <n v="18054800"/>
  </r>
  <r>
    <x v="8798"/>
    <n v="243.14999399999999"/>
    <n v="243.679993"/>
    <n v="240.80999800000001"/>
    <x v="5090"/>
    <n v="239.95826700000001"/>
    <n v="22211900"/>
  </r>
  <r>
    <x v="8799"/>
    <n v="241.86999499999999"/>
    <n v="244.759995"/>
    <n v="241.38000500000001"/>
    <x v="5091"/>
    <n v="241.244812"/>
    <n v="23565000"/>
  </r>
  <r>
    <x v="8800"/>
    <n v="245"/>
    <n v="245.91999799999999"/>
    <n v="240.88999899999999"/>
    <x v="5092"/>
    <n v="240.304642"/>
    <n v="22186700"/>
  </r>
  <r>
    <x v="8801"/>
    <n v="244.779999"/>
    <n v="245.14999399999999"/>
    <n v="242.14999399999999"/>
    <x v="5093"/>
    <n v="241.95735199999999"/>
    <n v="15751100"/>
  </r>
  <r>
    <x v="8802"/>
    <n v="243.929993"/>
    <n v="245.300003"/>
    <n v="242.729996"/>
    <x v="5094"/>
    <n v="242.45216400000001"/>
    <n v="16561100"/>
  </r>
  <r>
    <x v="8803"/>
    <n v="245.029999"/>
    <n v="246.13000500000001"/>
    <n v="242.91999799999999"/>
    <x v="5095"/>
    <n v="241.175522"/>
    <n v="26728500"/>
  </r>
  <r>
    <x v="8804"/>
    <n v="241.320007"/>
    <n v="244.30999800000001"/>
    <n v="240.94000199999999"/>
    <x v="5096"/>
    <n v="242.22695899999999"/>
    <n v="21653500"/>
  </r>
  <r>
    <x v="8805"/>
    <n v="241.800003"/>
    <n v="243.929993"/>
    <n v="240.86000100000001"/>
    <x v="5097"/>
    <n v="241.820267"/>
    <n v="16925600"/>
  </r>
  <r>
    <x v="8806"/>
    <n v="243.75"/>
    <n v="243.86000100000001"/>
    <n v="240.179993"/>
    <x v="5098"/>
    <n v="239.02307099999999"/>
    <n v="25262600"/>
  </r>
  <r>
    <x v="8807"/>
    <n v="237.41999799999999"/>
    <n v="237.929993"/>
    <n v="232.39999399999999"/>
    <x v="5099"/>
    <n v="232.61523399999999"/>
    <n v="36446900"/>
  </r>
  <r>
    <x v="8808"/>
    <n v="230.33000200000001"/>
    <n v="234.83000200000001"/>
    <n v="228.729996"/>
    <x v="5100"/>
    <n v="231.38526899999999"/>
    <n v="30228700"/>
  </r>
  <r>
    <x v="8809"/>
    <n v="230.009995"/>
    <n v="235.199997"/>
    <n v="229"/>
    <x v="5101"/>
    <n v="232.654922"/>
    <n v="26339700"/>
  </r>
  <r>
    <x v="8810"/>
    <n v="232.08000200000001"/>
    <n v="234.58999600000001"/>
    <n v="227.88000500000001"/>
    <x v="5102"/>
    <n v="227.13986199999999"/>
    <n v="39542200"/>
  </r>
  <r>
    <x v="8811"/>
    <n v="231.529999"/>
    <n v="235.36999499999999"/>
    <n v="229.53999300000001"/>
    <x v="5103"/>
    <n v="230.50247200000001"/>
    <n v="37819200"/>
  </r>
  <r>
    <x v="8812"/>
    <n v="235.89999399999999"/>
    <n v="237.470001"/>
    <n v="233.14999399999999"/>
    <x v="5104"/>
    <n v="235.02562"/>
    <n v="25324000"/>
  </r>
  <r>
    <x v="8813"/>
    <n v="237.009995"/>
    <n v="237.300003"/>
    <n v="233.449997"/>
    <x v="5105"/>
    <n v="231.980423"/>
    <n v="22812500"/>
  </r>
  <r>
    <x v="8814"/>
    <n v="232.16000399999999"/>
    <n v="233.58000200000001"/>
    <n v="227.259995"/>
    <x v="5106"/>
    <n v="225.721405"/>
    <n v="34029500"/>
  </r>
  <r>
    <x v="8815"/>
    <n v="226.740005"/>
    <n v="232.490005"/>
    <n v="224.259995"/>
    <x v="5107"/>
    <n v="224.89810199999999"/>
    <n v="44727800"/>
  </r>
  <r>
    <x v="8816"/>
    <n v="229.520004"/>
    <n v="233.270004"/>
    <n v="226.46000699999999"/>
    <x v="5108"/>
    <n v="229.72875999999999"/>
    <n v="41872800"/>
  </r>
  <r>
    <x v="8817"/>
    <n v="231.36999499999999"/>
    <n v="233.36999499999999"/>
    <n v="227.13000500000001"/>
    <x v="5109"/>
    <n v="225.55276499999999"/>
    <n v="35267400"/>
  </r>
  <r>
    <x v="8818"/>
    <n v="232.88000500000001"/>
    <n v="235.38000500000001"/>
    <n v="231.66999799999999"/>
    <x v="5110"/>
    <n v="231.89112900000001"/>
    <n v="33080500"/>
  </r>
  <r>
    <x v="8819"/>
    <n v="237"/>
    <n v="237"/>
    <n v="232.03999300000001"/>
    <x v="5111"/>
    <n v="230.54212999999999"/>
    <n v="29746800"/>
  </r>
  <r>
    <x v="8820"/>
    <n v="234.96000699999999"/>
    <n v="239.16999799999999"/>
    <n v="234.30999800000001"/>
    <x v="5112"/>
    <n v="235.214066"/>
    <n v="29907600"/>
  </r>
  <r>
    <x v="8821"/>
    <n v="234.009995"/>
    <n v="235.820007"/>
    <n v="233.229996"/>
    <x v="5113"/>
    <n v="233.84524500000001"/>
    <n v="22653700"/>
  </r>
  <r>
    <x v="8822"/>
    <n v="234.96000699999999"/>
    <n v="235.19000199999999"/>
    <n v="231.80999800000001"/>
    <x v="5114"/>
    <n v="232.91282699999999"/>
    <n v="26034900"/>
  </r>
  <r>
    <x v="8823"/>
    <n v="236.279999"/>
    <n v="240.05999800000001"/>
    <n v="235.94000199999999"/>
    <x v="5115"/>
    <n v="235.78939800000001"/>
    <n v="28092200"/>
  </r>
  <r>
    <x v="8824"/>
    <n v="236.14999399999999"/>
    <n v="238.550003"/>
    <n v="233.229996"/>
    <x v="5116"/>
    <n v="235.12480199999999"/>
    <n v="29562100"/>
  </r>
  <r>
    <x v="8825"/>
    <n v="232.55999800000001"/>
    <n v="234.19000199999999"/>
    <n v="230.33000200000001"/>
    <x v="5117"/>
    <n v="228.85588100000001"/>
    <n v="34833000"/>
  </r>
  <r>
    <x v="8826"/>
    <n v="231.020004"/>
    <n v="232.470001"/>
    <n v="229.35000600000001"/>
    <x v="5118"/>
    <n v="228.48886100000001"/>
    <n v="46430700"/>
  </r>
  <r>
    <x v="8827"/>
    <n v="230.270004"/>
    <n v="236.89999399999999"/>
    <n v="230.13999899999999"/>
    <x v="5119"/>
    <n v="234.08329800000001"/>
    <n v="30127000"/>
  </r>
  <r>
    <x v="8828"/>
    <n v="237.490005"/>
    <n v="241.050003"/>
    <n v="237.070007"/>
    <x v="5120"/>
    <n v="235.66044600000001"/>
    <n v="31638400"/>
  </r>
  <r>
    <x v="8829"/>
    <n v="237.85000600000001"/>
    <n v="238"/>
    <n v="235.320007"/>
    <x v="5121"/>
    <n v="233.55758700000001"/>
    <n v="25620100"/>
  </r>
  <r>
    <x v="8830"/>
    <n v="235.300003"/>
    <n v="236.94000199999999"/>
    <n v="231.570007"/>
    <x v="5122"/>
    <n v="230.462784"/>
    <n v="34061900"/>
  </r>
  <r>
    <x v="8831"/>
    <n v="231.550003"/>
    <n v="236.71000699999999"/>
    <n v="231.550003"/>
    <x v="5123"/>
    <n v="234.569321"/>
    <n v="25479900"/>
  </r>
  <r>
    <x v="8832"/>
    <n v="236.58999600000001"/>
    <n v="236.800003"/>
    <n v="231.88000500000001"/>
    <x v="5124"/>
    <n v="233.33935500000001"/>
    <n v="25227500"/>
  </r>
  <r>
    <x v="8833"/>
    <n v="233.529999"/>
    <n v="233.85000600000001"/>
    <n v="231.10000600000001"/>
    <x v="5125"/>
    <n v="229.97674599999999"/>
    <n v="24792000"/>
  </r>
  <r>
    <x v="8834"/>
    <n v="232.91000399999999"/>
    <n v="239.10000600000001"/>
    <n v="232.38999899999999"/>
    <x v="5126"/>
    <n v="233.86506700000001"/>
    <n v="43623500"/>
  </r>
  <r>
    <x v="8835"/>
    <n v="238.470001"/>
    <n v="242.83999600000001"/>
    <n v="238.050003"/>
    <x v="5127"/>
    <n v="240.391907"/>
    <n v="30338000"/>
  </r>
  <r>
    <x v="8836"/>
    <n v="242.759995"/>
    <n v="249.96000699999999"/>
    <n v="242.699997"/>
    <x v="5128"/>
    <n v="247.057602"/>
    <n v="36910600"/>
  </r>
  <r>
    <x v="8837"/>
    <n v="247.61000100000001"/>
    <n v="249.39999399999999"/>
    <n v="246.88000500000001"/>
    <x v="5129"/>
    <n v="245.85737599999999"/>
    <n v="22931900"/>
  </r>
  <r>
    <x v="8838"/>
    <n v="247.80999800000001"/>
    <n v="250.929993"/>
    <n v="247.19000199999999"/>
    <x v="5130"/>
    <n v="247.88090500000001"/>
    <n v="22719800"/>
  </r>
  <r>
    <x v="8839"/>
    <n v="252.770004"/>
    <n v="254.13999899999999"/>
    <n v="252"/>
    <x v="5131"/>
    <n v="251.20382699999999"/>
    <n v="23625200"/>
  </r>
  <r>
    <x v="8840"/>
    <n v="252.86999499999999"/>
    <n v="255.990005"/>
    <n v="252.44000199999999"/>
    <x v="5132"/>
    <n v="253.782837"/>
    <n v="24326800"/>
  </r>
  <r>
    <x v="8841"/>
    <n v="254.71000699999999"/>
    <n v="257.67001299999998"/>
    <n v="254.61999499999999"/>
    <x v="5133"/>
    <n v="253.84234599999999"/>
    <n v="27148700"/>
  </r>
  <r>
    <x v="8842"/>
    <n v="257.26001000000002"/>
    <n v="259.19000199999999"/>
    <n v="256.82998700000002"/>
    <x v="5134"/>
    <n v="256.40148900000003"/>
    <n v="23837500"/>
  </r>
  <r>
    <x v="8843"/>
    <n v="257.48001099999999"/>
    <n v="258.82998700000002"/>
    <n v="255.16000399999999"/>
    <x v="5135"/>
    <n v="253.52491800000001"/>
    <n v="23070900"/>
  </r>
  <r>
    <x v="8844"/>
    <n v="257.92999300000002"/>
    <n v="259.92999300000002"/>
    <n v="257.73001099999999"/>
    <x v="5136"/>
    <n v="257.40335099999999"/>
    <n v="25627500"/>
  </r>
  <r>
    <x v="8845"/>
    <n v="259.47000100000002"/>
    <n v="261"/>
    <n v="257.60000600000001"/>
    <x v="5137"/>
    <n v="258.63330100000002"/>
    <n v="24878600"/>
  </r>
  <r>
    <x v="8846"/>
    <n v="260.19000199999999"/>
    <n v="261.48001099999999"/>
    <n v="257.82000699999998"/>
    <x v="5138"/>
    <n v="256.649475"/>
    <n v="23209300"/>
  </r>
  <r>
    <x v="8847"/>
    <n v="257.82000699999998"/>
    <n v="260.20001200000002"/>
    <n v="256.83999599999999"/>
    <x v="5139"/>
    <n v="256.17336999999998"/>
    <n v="19722900"/>
  </r>
  <r>
    <x v="8848"/>
    <n v="258.94000199999999"/>
    <n v="260.67999300000002"/>
    <n v="257.25"/>
    <x v="5140"/>
    <n v="258.47460899999999"/>
    <n v="24030400"/>
  </r>
  <r>
    <x v="8849"/>
    <n v="260.209991"/>
    <n v="261.77999899999998"/>
    <n v="255.63999899999999"/>
    <x v="5141"/>
    <n v="255.09217799999999"/>
    <n v="25606200"/>
  </r>
  <r>
    <x v="8850"/>
    <n v="257.88000499999998"/>
    <n v="261.51001000000002"/>
    <n v="257.26998900000001"/>
    <x v="5142"/>
    <n v="259.04003899999998"/>
    <n v="21462600"/>
  </r>
  <r>
    <x v="8851"/>
    <n v="261.66000400000001"/>
    <n v="262.44000199999999"/>
    <n v="260.17001299999998"/>
    <x v="5143"/>
    <n v="259.43679800000001"/>
    <n v="19763300"/>
  </r>
  <r>
    <x v="8852"/>
    <n v="261.57998700000002"/>
    <n v="263.19000199999999"/>
    <n v="260.11999500000002"/>
    <x v="5144"/>
    <n v="259.85339399999998"/>
    <n v="31014200"/>
  </r>
  <r>
    <x v="8853"/>
    <n v="256.07998700000002"/>
    <n v="256.540009"/>
    <n v="252.949997"/>
    <x v="5145"/>
    <n v="252.50325000000001"/>
    <n v="46903100"/>
  </r>
  <r>
    <x v="8854"/>
    <n v="255.46000699999999"/>
    <n v="256.10000600000001"/>
    <n v="249"/>
    <x v="5146"/>
    <n v="250.469818"/>
    <n v="40589000"/>
  </r>
  <r>
    <x v="8855"/>
    <n v="249.740005"/>
    <n v="253.08000200000001"/>
    <n v="249.60000600000001"/>
    <x v="5147"/>
    <n v="250.142471"/>
    <n v="30945100"/>
  </r>
  <r>
    <x v="8856"/>
    <n v="253.39999399999999"/>
    <n v="254.35000600000001"/>
    <n v="251.11999499999999"/>
    <x v="5148"/>
    <n v="249.825073"/>
    <n v="19626600"/>
  </r>
  <r>
    <x v="8857"/>
    <n v="250.970001"/>
    <n v="251.21000699999999"/>
    <n v="245.759995"/>
    <x v="5149"/>
    <n v="245.787949"/>
    <n v="32756100"/>
  </r>
  <r>
    <x v="8858"/>
    <n v="249.05999800000001"/>
    <n v="249.5"/>
    <n v="245.820007"/>
    <x v="5150"/>
    <n v="244.47863799999999"/>
    <n v="21901300"/>
  </r>
  <r>
    <x v="8859"/>
    <n v="246.449997"/>
    <n v="249.86000100000001"/>
    <n v="244.69000199999999"/>
    <x v="5151"/>
    <n v="247.712265"/>
    <n v="26491100"/>
  </r>
  <r>
    <x v="8860"/>
    <n v="252.14999399999999"/>
    <n v="254.300003"/>
    <n v="251.16999799999999"/>
    <x v="5152"/>
    <n v="250.420242"/>
    <n v="27032900"/>
  </r>
  <r>
    <x v="8861"/>
    <n v="250.86999499999999"/>
    <n v="251.729996"/>
    <n v="247.11999499999999"/>
    <x v="5153"/>
    <n v="245.18287699999999"/>
    <n v="29299900"/>
  </r>
  <r>
    <x v="8862"/>
    <n v="244.550003"/>
    <n v="246.60000600000001"/>
    <n v="242.570007"/>
    <x v="5154"/>
    <n v="244.240555"/>
    <n v="33641600"/>
  </r>
  <r>
    <x v="8863"/>
    <n v="242.16999799999999"/>
    <n v="244.38000500000001"/>
    <n v="238.070007"/>
    <x v="5155"/>
    <n v="237.068985"/>
    <n v="36684400"/>
  </r>
  <r>
    <x v="8864"/>
    <n v="241.800003"/>
    <n v="245.60000600000001"/>
    <n v="241.41999799999999"/>
    <x v="5156"/>
    <n v="241.066406"/>
    <n v="29624300"/>
  </r>
  <r>
    <x v="8865"/>
    <n v="245.58000200000001"/>
    <n v="249.179993"/>
    <n v="245.490005"/>
    <x v="5157"/>
    <n v="246.14503500000001"/>
    <n v="23901100"/>
  </r>
  <r>
    <x v="8866"/>
    <n v="246.550003"/>
    <n v="246.58999600000001"/>
    <n v="243.520004"/>
    <x v="5158"/>
    <n v="243.19903600000001"/>
    <n v="24970200"/>
  </r>
  <r>
    <x v="8867"/>
    <n v="246.270004"/>
    <n v="246.41000399999999"/>
    <n v="242.89999399999999"/>
    <x v="5159"/>
    <n v="241.11599699999999"/>
    <n v="20168000"/>
  </r>
  <r>
    <x v="8868"/>
    <n v="239.30999800000001"/>
    <n v="243.229996"/>
    <n v="238.60000600000001"/>
    <x v="5160"/>
    <n v="241.712524"/>
    <n v="25739800"/>
  </r>
  <r>
    <x v="8869"/>
    <n v="243.96000699999999"/>
    <n v="247.949997"/>
    <n v="243.86000100000001"/>
    <x v="5161"/>
    <n v="245.05306999999999"/>
    <n v="21800700"/>
  </r>
  <r>
    <x v="8870"/>
    <n v="247.570007"/>
    <n v="248.33000200000001"/>
    <n v="244.740005"/>
    <x v="5162"/>
    <n v="243.75065599999999"/>
    <n v="21863100"/>
  </r>
  <r>
    <x v="8871"/>
    <n v="247.78999300000001"/>
    <n v="251.16000399999999"/>
    <n v="247.509995"/>
    <x v="5163"/>
    <n v="249.32820100000001"/>
    <n v="21411500"/>
  </r>
  <r>
    <x v="8872"/>
    <n v="251.770004"/>
    <n v="252.75"/>
    <n v="250.820007"/>
    <x v="5164"/>
    <n v="250.262756"/>
    <n v="17704300"/>
  </r>
  <r>
    <x v="8873"/>
    <n v="251.429993"/>
    <n v="252.94000199999999"/>
    <n v="250.75"/>
    <x v="5165"/>
    <n v="250.034088"/>
    <n v="17771600"/>
  </r>
  <r>
    <x v="8874"/>
    <n v="251.16999799999999"/>
    <n v="251.479996"/>
    <n v="249.25"/>
    <x v="5166"/>
    <n v="247.866714"/>
    <n v="24426200"/>
  </r>
  <r>
    <x v="8875"/>
    <n v="251"/>
    <n v="252.08000200000001"/>
    <n v="249.55999800000001"/>
    <x v="5167"/>
    <n v="248.23455799999999"/>
    <n v="18270200"/>
  </r>
  <r>
    <x v="8876"/>
    <n v="251.229996"/>
    <n v="251.28999300000001"/>
    <n v="246.96000699999999"/>
    <x v="5168"/>
    <n v="245.96774300000001"/>
    <n v="23213300"/>
  </r>
  <r>
    <x v="8877"/>
    <n v="248.13000500000001"/>
    <n v="249.270004"/>
    <n v="245.83999600000001"/>
    <x v="5169"/>
    <n v="245.86833200000001"/>
    <n v="19406700"/>
  </r>
  <r>
    <x v="8878"/>
    <n v="245.220001"/>
    <n v="246.33999600000001"/>
    <n v="243"/>
    <x v="5170"/>
    <n v="244.287567"/>
    <n v="25307700"/>
  </r>
  <r>
    <x v="8879"/>
    <n v="247.759995"/>
    <n v="251.64999399999999"/>
    <n v="247.509995"/>
    <x v="5171"/>
    <n v="249.33813499999999"/>
    <n v="25281100"/>
  </r>
  <r>
    <x v="8880"/>
    <n v="249.979996"/>
    <n v="254.08999600000001"/>
    <n v="249.80999800000001"/>
    <x v="5172"/>
    <n v="252.34063699999999"/>
    <n v="23079200"/>
  </r>
  <r>
    <x v="8881"/>
    <n v="255.16000399999999"/>
    <n v="256.01001000000002"/>
    <n v="252.509995"/>
    <x v="5173"/>
    <n v="251.107834"/>
    <n v="22455000"/>
  </r>
  <r>
    <x v="8882"/>
    <n v="253.80999800000001"/>
    <n v="255.529999"/>
    <n v="253.21000699999999"/>
    <x v="5174"/>
    <n v="252.12191799999999"/>
    <n v="17937600"/>
  </r>
  <r>
    <x v="8883"/>
    <n v="254.28999300000001"/>
    <n v="257.459991"/>
    <n v="253.66999799999999"/>
    <x v="5175"/>
    <n v="255.750778"/>
    <n v="24563600"/>
  </r>
  <r>
    <x v="8884"/>
    <n v="257.98998999999998"/>
    <n v="258.48998999999998"/>
    <n v="256.60998499999999"/>
    <x v="5176"/>
    <n v="256.397064"/>
    <n v="18999700"/>
  </r>
  <r>
    <x v="8885"/>
    <n v="257.89999399999999"/>
    <n v="259.95001200000002"/>
    <n v="256.79998799999998"/>
    <x v="5177"/>
    <n v="258.385468"/>
    <n v="19150500"/>
  </r>
  <r>
    <x v="8886"/>
    <n v="259.76998900000001"/>
    <n v="259.98998999999998"/>
    <n v="257.67999300000002"/>
    <x v="5178"/>
    <n v="256.86428799999999"/>
    <n v="18038900"/>
  </r>
  <r>
    <x v="8887"/>
    <n v="259.39999399999999"/>
    <n v="260.57998700000002"/>
    <n v="254.41999799999999"/>
    <x v="5179"/>
    <n v="255.889984"/>
    <n v="27220000"/>
  </r>
  <r>
    <x v="8888"/>
    <n v="256.07000699999998"/>
    <n v="261.75"/>
    <n v="256.01001000000002"/>
    <x v="5180"/>
    <n v="259.38961799999998"/>
    <n v="27565500"/>
  </r>
  <r>
    <x v="8889"/>
    <n v="259.63000499999998"/>
    <n v="262.29998799999998"/>
    <n v="258.75"/>
    <x v="5181"/>
    <n v="257.92810100000003"/>
    <n v="37202200"/>
  </r>
  <r>
    <x v="8890"/>
    <n v="259.82000699999998"/>
    <n v="263.51998900000001"/>
    <n v="257.92001299999998"/>
    <x v="5182"/>
    <n v="261.10958900000003"/>
    <n v="26696100"/>
  </r>
  <r>
    <x v="8891"/>
    <n v="262.72000100000002"/>
    <n v="265.790009"/>
    <n v="262.39999399999999"/>
    <x v="5183"/>
    <n v="263.97293100000002"/>
    <n v="24694100"/>
  </r>
  <r>
    <x v="8892"/>
    <n v="265.98998999999998"/>
    <n v="266.82998700000002"/>
    <n v="264.42999300000002"/>
    <x v="5184"/>
    <n v="263.734283"/>
    <n v="19518700"/>
  </r>
  <r>
    <x v="8893"/>
    <n v="266.16000400000001"/>
    <n v="267.85000600000001"/>
    <n v="265.47000100000002"/>
    <x v="5185"/>
    <n v="265.14608800000002"/>
    <n v="21446900"/>
  </r>
  <r>
    <x v="8894"/>
    <n v="266.23001099999999"/>
    <n v="267.25"/>
    <n v="264.76001000000002"/>
    <x v="5186"/>
    <n v="263.485748"/>
    <n v="25611100"/>
  </r>
  <r>
    <x v="8895"/>
    <n v="266.19000199999999"/>
    <n v="268.89999399999999"/>
    <n v="265.91000400000001"/>
    <x v="5187"/>
    <n v="267.16433699999999"/>
    <n v="19590000"/>
  </r>
  <r>
    <x v="8896"/>
    <n v="268.86999500000002"/>
    <n v="271.64999399999999"/>
    <n v="267.98001099999999"/>
    <x v="5188"/>
    <n v="269.82879600000001"/>
    <n v="19937800"/>
  </r>
  <r>
    <x v="8897"/>
    <n v="270.69000199999999"/>
    <n v="271.35998499999999"/>
    <n v="269.60000600000001"/>
    <x v="5189"/>
    <n v="269.33169600000002"/>
    <n v="21656500"/>
  </r>
  <r>
    <x v="8898"/>
    <n v="269.60998499999999"/>
    <n v="271.83999599999999"/>
    <n v="269.60000600000001"/>
    <x v="5190"/>
    <n v="270.027649"/>
    <n v="16725300"/>
  </r>
  <r>
    <x v="8899"/>
    <n v="272.82000699999998"/>
    <n v="278"/>
    <n v="272.5"/>
    <x v="5191"/>
    <n v="276.04263300000002"/>
    <n v="26458000"/>
  </r>
  <r>
    <x v="8900"/>
    <n v="278.02999899999998"/>
    <n v="279.36999500000002"/>
    <n v="274.29998799999998"/>
    <x v="5192"/>
    <n v="276.05258199999997"/>
    <n v="31565600"/>
  </r>
  <r>
    <x v="8901"/>
    <n v="279.39999399999999"/>
    <n v="280.69000199999999"/>
    <n v="277.14999399999999"/>
    <x v="5193"/>
    <n v="278.30941799999999"/>
    <n v="23260000"/>
  </r>
  <r>
    <x v="8902"/>
    <n v="276.89999399999999"/>
    <n v="278.73001099999999"/>
    <n v="274.86999500000002"/>
    <x v="5194"/>
    <n v="275.813965"/>
    <n v="24618600"/>
  </r>
  <r>
    <x v="8903"/>
    <n v="275.72000100000002"/>
    <n v="278.04998799999998"/>
    <n v="275.32000699999998"/>
    <x v="5195"/>
    <n v="276.330963"/>
    <n v="23916700"/>
  </r>
  <r>
    <x v="8904"/>
    <n v="279.16000400000001"/>
    <n v="279.76998900000001"/>
    <n v="276.57998700000002"/>
    <x v="5196"/>
    <n v="275.714539"/>
    <n v="18931700"/>
  </r>
  <r>
    <x v="8905"/>
    <n v="277.51998900000001"/>
    <n v="282.85000600000001"/>
    <n v="277.39001500000001"/>
    <x v="5197"/>
    <n v="279.353363"/>
    <n v="26120100"/>
  </r>
  <r>
    <x v="8906"/>
    <n v="282.35000600000001"/>
    <n v="283.66000400000001"/>
    <n v="280.54998799999998"/>
    <x v="5198"/>
    <n v="280.87451199999998"/>
    <n v="23113700"/>
  </r>
  <r>
    <x v="8907"/>
    <n v="282"/>
    <n v="282.51001000000002"/>
    <n v="279.82998700000002"/>
    <x v="5199"/>
    <n v="279.40304600000002"/>
    <n v="22604200"/>
  </r>
  <r>
    <x v="8908"/>
    <n v="282.07000699999998"/>
    <n v="284.10000600000001"/>
    <n v="279.459991"/>
    <x v="5200"/>
    <n v="279.12469499999997"/>
    <n v="26186800"/>
  </r>
  <r>
    <x v="8909"/>
    <n v="278.92999300000002"/>
    <n v="280.36999500000002"/>
    <n v="274.45001200000002"/>
    <x v="5201"/>
    <n v="275.40637199999998"/>
    <n v="32935600"/>
  </r>
  <r>
    <x v="8910"/>
    <n v="278.02999899999998"/>
    <n v="280.97000100000002"/>
    <n v="276.26001000000002"/>
    <x v="5202"/>
    <n v="277.70297199999999"/>
    <n v="26259700"/>
  </r>
  <r>
    <x v="8911"/>
    <n v="278.89999399999999"/>
    <n v="281.51998900000001"/>
    <n v="277.290009"/>
    <x v="5203"/>
    <n v="279.77090500000003"/>
    <n v="24364300"/>
  </r>
  <r>
    <x v="8912"/>
    <n v="283.83999599999999"/>
    <n v="286.42001299999998"/>
    <n v="283.42001299999998"/>
    <x v="5204"/>
    <n v="284.48349000000002"/>
    <n v="23384100"/>
  </r>
  <r>
    <x v="8913"/>
    <n v="287.36999500000002"/>
    <n v="289.98998999999998"/>
    <n v="286.5"/>
    <x v="5205"/>
    <n v="287.993042"/>
    <n v="22768100"/>
  </r>
  <r>
    <x v="8914"/>
    <n v="289"/>
    <n v="289.69000199999999"/>
    <n v="286.64001500000001"/>
    <x v="5206"/>
    <n v="287.37661700000001"/>
    <n v="23176100"/>
  </r>
  <r>
    <x v="8915"/>
    <n v="289.42999300000002"/>
    <n v="289.57998700000002"/>
    <n v="282.95001200000002"/>
    <x v="5207"/>
    <n v="284.88116500000001"/>
    <n v="33604100"/>
  </r>
  <r>
    <x v="8916"/>
    <n v="288.98998999999998"/>
    <n v="290.14999399999999"/>
    <n v="283.82998700000002"/>
    <x v="5208"/>
    <n v="284.563019"/>
    <n v="33566900"/>
  </r>
  <r>
    <x v="8917"/>
    <n v="286.23998999999998"/>
    <n v="288.61999500000002"/>
    <n v="286.07998700000002"/>
    <x v="5209"/>
    <n v="284.841431"/>
    <n v="18168300"/>
  </r>
  <r>
    <x v="8918"/>
    <n v="285.17001299999998"/>
    <n v="286.66000400000001"/>
    <n v="283.91000400000001"/>
    <x v="5210"/>
    <n v="283.26062000000002"/>
    <n v="20944800"/>
  </r>
  <r>
    <x v="8919"/>
    <n v="286.35998499999999"/>
    <n v="286.76998900000001"/>
    <n v="283.73998999999998"/>
    <x v="5211"/>
    <n v="283.17114299999997"/>
    <n v="16267400"/>
  </r>
  <r>
    <x v="8920"/>
    <n v="285.42001299999998"/>
    <n v="287.23001099999999"/>
    <n v="284"/>
    <x v="5212"/>
    <n v="285.45782500000001"/>
    <n v="17879000"/>
  </r>
  <r>
    <x v="8921"/>
    <n v="286.22000100000002"/>
    <n v="287.58999599999999"/>
    <n v="284.64999399999999"/>
    <x v="5213"/>
    <n v="284.85134900000003"/>
    <n v="16191300"/>
  </r>
  <r>
    <x v="8922"/>
    <n v="286.88000499999998"/>
    <n v="289.63000499999998"/>
    <n v="286.10000600000001"/>
    <x v="5214"/>
    <n v="287.84390300000001"/>
    <n v="13900200"/>
  </r>
  <r>
    <x v="8923"/>
    <n v="288.51001000000002"/>
    <n v="289.5"/>
    <n v="287.61999500000002"/>
    <x v="5215"/>
    <n v="287.78427099999999"/>
    <n v="16589300"/>
  </r>
  <r>
    <x v="8924"/>
    <n v="289.75"/>
    <n v="291.54998799999998"/>
    <n v="287.80999800000001"/>
    <x v="5216"/>
    <n v="286.66076700000002"/>
    <n v="16117600"/>
  </r>
  <r>
    <x v="8925"/>
    <n v="288.79998799999998"/>
    <n v="289.25"/>
    <n v="285.20001200000002"/>
    <x v="5217"/>
    <n v="284.78173800000002"/>
    <n v="18616600"/>
  </r>
  <r>
    <x v="8926"/>
    <n v="287.209991"/>
    <n v="288.66000400000001"/>
    <n v="285.85998499999999"/>
    <x v="5218"/>
    <n v="285.28878800000001"/>
    <n v="13955900"/>
  </r>
  <r>
    <x v="8927"/>
    <n v="286.63000499999998"/>
    <n v="289.97000100000002"/>
    <n v="286.33999599999999"/>
    <x v="5219"/>
    <n v="288.13226300000002"/>
    <n v="14561300"/>
  </r>
  <r>
    <x v="8928"/>
    <n v="289.48001099999999"/>
    <n v="292.89999399999999"/>
    <n v="289.29998799999998"/>
    <x v="5220"/>
    <n v="291.15466300000003"/>
    <n v="18249000"/>
  </r>
  <r>
    <x v="8929"/>
    <n v="293.19000199999999"/>
    <n v="294.82000699999998"/>
    <n v="290.01998900000001"/>
    <x v="5221"/>
    <n v="292.89450099999999"/>
    <n v="22507600"/>
  </r>
  <r>
    <x v="8930"/>
    <n v="292.39001500000001"/>
    <n v="293.42999300000002"/>
    <n v="291.07998700000002"/>
    <x v="5222"/>
    <n v="291.38326999999998"/>
    <n v="20075300"/>
  </r>
  <r>
    <x v="8931"/>
    <n v="292.040009"/>
    <n v="294.82000699999998"/>
    <n v="290.26998900000001"/>
    <x v="5223"/>
    <n v="289.600281"/>
    <n v="21813000"/>
  </r>
  <r>
    <x v="8932"/>
    <n v="288.69000199999999"/>
    <n v="297.47000100000002"/>
    <n v="288.64001500000001"/>
    <x v="5224"/>
    <n v="295.61676"/>
    <n v="29850500"/>
  </r>
  <r>
    <x v="8933"/>
    <n v="299.72000100000002"/>
    <n v="305.83999599999999"/>
    <n v="298.05999800000001"/>
    <x v="5225"/>
    <n v="303.177277"/>
    <n v="40817600"/>
  </r>
  <r>
    <x v="8934"/>
    <n v="303.25"/>
    <n v="305.39999399999999"/>
    <n v="301.85000600000001"/>
    <x v="5226"/>
    <n v="303.46618699999999"/>
    <n v="22830200"/>
  </r>
  <r>
    <x v="8935"/>
    <n v="305.01998900000001"/>
    <n v="305.64999399999999"/>
    <n v="302"/>
    <x v="5227"/>
    <n v="301.44406099999998"/>
    <n v="18175800"/>
  </r>
  <r>
    <x v="8936"/>
    <n v="304.29998799999998"/>
    <n v="304.58999599999999"/>
    <n v="300.42001299999998"/>
    <x v="5228"/>
    <n v="300.836456"/>
    <n v="20006100"/>
  </r>
  <r>
    <x v="8937"/>
    <n v="300.98998999999998"/>
    <n v="302.42999300000002"/>
    <n v="298.95001200000002"/>
    <x v="5229"/>
    <n v="297.927795"/>
    <n v="17666100"/>
  </r>
  <r>
    <x v="8938"/>
    <n v="298.98998999999998"/>
    <n v="300.86999500000002"/>
    <n v="296.82998700000002"/>
    <x v="5230"/>
    <n v="298.55532799999997"/>
    <n v="22605700"/>
  </r>
  <r>
    <x v="8939"/>
    <n v="301.11999500000002"/>
    <n v="304.22000100000002"/>
    <n v="301.05999800000001"/>
    <x v="5231"/>
    <n v="302.41027800000001"/>
    <n v="16348100"/>
  </r>
  <r>
    <x v="8940"/>
    <n v="304.42001299999998"/>
    <n v="304.5"/>
    <n v="301.5"/>
    <x v="5232"/>
    <n v="300.70697000000001"/>
    <n v="26285300"/>
  </r>
  <r>
    <x v="8941"/>
    <n v="302.86999500000002"/>
    <n v="305.19000199999999"/>
    <n v="301.48998999999998"/>
    <x v="5233"/>
    <n v="300.65713499999998"/>
    <n v="18983800"/>
  </r>
  <r>
    <x v="8942"/>
    <n v="302.20001200000002"/>
    <n v="303.35998499999999"/>
    <n v="300.17999300000002"/>
    <x v="5234"/>
    <n v="299.97976699999998"/>
    <n v="16285600"/>
  </r>
  <r>
    <x v="8943"/>
    <n v="300.98998999999998"/>
    <n v="302.60000600000001"/>
    <n v="300.26001000000002"/>
    <x v="5235"/>
    <n v="299.96984900000001"/>
    <n v="14747900"/>
  </r>
  <r>
    <x v="8944"/>
    <n v="301.01001000000002"/>
    <n v="301.08999599999999"/>
    <n v="298.20001200000002"/>
    <x v="5236"/>
    <n v="299.01351899999997"/>
    <n v="17180400"/>
  </r>
  <r>
    <x v="8945"/>
    <n v="299.77999899999998"/>
    <n v="300.60998499999999"/>
    <n v="297.47000100000002"/>
    <x v="5237"/>
    <n v="299.04339599999997"/>
    <n v="15046800"/>
  </r>
  <r>
    <x v="8946"/>
    <n v="300.82000699999998"/>
    <n v="302.14001500000001"/>
    <n v="297"/>
    <x v="5238"/>
    <n v="296.09494000000001"/>
    <n v="19927000"/>
  </r>
  <r>
    <x v="8947"/>
    <n v="298.42001299999998"/>
    <n v="299.92001299999998"/>
    <n v="295.38000499999998"/>
    <x v="5239"/>
    <n v="294.56091300000003"/>
    <n v="19633400"/>
  </r>
  <r>
    <x v="8948"/>
    <n v="297.54998799999998"/>
    <n v="298.540009"/>
    <n v="294.07998700000002"/>
    <x v="5240"/>
    <n v="295.835938"/>
    <n v="23652900"/>
  </r>
  <r>
    <x v="8949"/>
    <n v="299.55999800000001"/>
    <n v="301.39001500000001"/>
    <n v="298.10000600000001"/>
    <x v="5241"/>
    <n v="298.625092"/>
    <n v="21853400"/>
  </r>
  <r>
    <x v="8950"/>
    <n v="303.26001000000002"/>
    <n v="305.32000699999998"/>
    <n v="301.82000699999998"/>
    <x v="5242"/>
    <n v="303.63552900000002"/>
    <n v="28356300"/>
  </r>
  <r>
    <x v="8951"/>
    <n v="303.76001000000002"/>
    <n v="305.30999800000001"/>
    <n v="300.76001000000002"/>
    <x v="5243"/>
    <n v="304.03396600000002"/>
    <n v="19550800"/>
  </r>
  <r>
    <x v="8952"/>
    <n v="304.17001299999998"/>
    <n v="304.5"/>
    <n v="299.52999899999998"/>
    <x v="5244"/>
    <n v="298.70474200000001"/>
    <n v="41372500"/>
  </r>
  <r>
    <x v="8953"/>
    <n v="296.32998700000002"/>
    <n v="298.72000100000002"/>
    <n v="289.51998900000001"/>
    <x v="5245"/>
    <n v="293.15637199999998"/>
    <n v="38278700"/>
  </r>
  <r>
    <x v="8954"/>
    <n v="295.69000199999999"/>
    <n v="297.540009"/>
    <n v="294.07000699999998"/>
    <x v="5246"/>
    <n v="293.65441900000002"/>
    <n v="22364100"/>
  </r>
  <r>
    <x v="8955"/>
    <n v="296.73001099999999"/>
    <n v="300.22000100000002"/>
    <n v="294.51001000000002"/>
    <x v="5247"/>
    <n v="297.41973899999999"/>
    <n v="26626300"/>
  </r>
  <r>
    <x v="8956"/>
    <n v="298.85000600000001"/>
    <n v="300.89999399999999"/>
    <n v="297.52999899999998"/>
    <x v="5248"/>
    <n v="298.39593500000001"/>
    <n v="18604600"/>
  </r>
  <r>
    <x v="8957"/>
    <n v="298.23001099999999"/>
    <n v="299.79998799999998"/>
    <n v="296.92999300000002"/>
    <x v="5249"/>
    <n v="298.18676799999997"/>
    <n v="14999000"/>
  </r>
  <r>
    <x v="8958"/>
    <n v="296.14001500000001"/>
    <n v="296.47000100000002"/>
    <n v="292.94000199999999"/>
    <x v="5250"/>
    <n v="293.02691700000003"/>
    <n v="23571700"/>
  </r>
  <r>
    <x v="8959"/>
    <n v="289.79998799999998"/>
    <n v="290.77999899999998"/>
    <n v="282.75"/>
    <x v="5251"/>
    <n v="282.418274"/>
    <n v="43186200"/>
  </r>
  <r>
    <x v="8960"/>
    <n v="285.10000600000001"/>
    <n v="286.76998900000001"/>
    <n v="283.01001000000002"/>
    <x v="5252"/>
    <n v="282.89639299999999"/>
    <n v="26353700"/>
  </r>
  <r>
    <x v="8961"/>
    <n v="285.709991"/>
    <n v="287.82998700000002"/>
    <n v="281.61999500000002"/>
    <x v="5253"/>
    <n v="280.824524"/>
    <n v="32343600"/>
  </r>
  <r>
    <x v="8962"/>
    <n v="282.11999500000002"/>
    <n v="289.98001099999999"/>
    <n v="281.290009"/>
    <x v="5254"/>
    <n v="287.97659299999998"/>
    <n v="30086300"/>
  </r>
  <r>
    <x v="8963"/>
    <n v="287.39999399999999"/>
    <n v="287.75"/>
    <n v="280.25"/>
    <x v="5255"/>
    <n v="282.00985700000001"/>
    <n v="31350700"/>
  </r>
  <r>
    <x v="8964"/>
    <n v="284.04998799999998"/>
    <n v="290.39999399999999"/>
    <n v="284.04998799999998"/>
    <x v="5256"/>
    <n v="287.63793900000002"/>
    <n v="24993000"/>
  </r>
  <r>
    <x v="8965"/>
    <n v="285.77999899999998"/>
    <n v="293.63000499999998"/>
    <n v="285.51001000000002"/>
    <x v="5257"/>
    <n v="291.970978"/>
    <n v="28002600"/>
  </r>
  <r>
    <x v="8966"/>
    <n v="295.17999300000002"/>
    <n v="296.64001500000001"/>
    <n v="293.92001299999998"/>
    <x v="5258"/>
    <n v="293.70425399999999"/>
    <n v="20430500"/>
  </r>
  <r>
    <x v="8967"/>
    <n v="296.22000100000002"/>
    <n v="296.64001500000001"/>
    <n v="293.76001000000002"/>
    <x v="5258"/>
    <n v="293.70425399999999"/>
    <n v="17685700"/>
  </r>
  <r>
    <x v="8968"/>
    <n v="292.92001299999998"/>
    <n v="297.97000100000002"/>
    <n v="292.75"/>
    <x v="5259"/>
    <n v="293.08667000000003"/>
    <n v="19298600"/>
  </r>
  <r>
    <x v="8969"/>
    <n v="295.33999599999999"/>
    <n v="295.44000199999999"/>
    <n v="292.35000600000001"/>
    <x v="5260"/>
    <n v="291.74191300000001"/>
    <n v="17974100"/>
  </r>
  <r>
    <x v="8970"/>
    <n v="294.91000400000001"/>
    <n v="297.27999899999998"/>
    <n v="293.48998999999998"/>
    <x v="5261"/>
    <n v="295.15859999999998"/>
    <n v="23416300"/>
  </r>
  <r>
    <x v="8971"/>
    <n v="299.209991"/>
    <n v="303.26998900000001"/>
    <n v="297.82998700000002"/>
    <x v="5262"/>
    <n v="301.57354700000002"/>
    <n v="27262900"/>
  </r>
  <r>
    <x v="8972"/>
    <n v="302.33999599999999"/>
    <n v="304.45001200000002"/>
    <n v="300.51998900000001"/>
    <x v="5263"/>
    <n v="303.02786300000002"/>
    <n v="25384800"/>
  </r>
  <r>
    <x v="8973"/>
    <n v="303.57000699999998"/>
    <n v="308.209991"/>
    <n v="302.69000199999999"/>
    <x v="5264"/>
    <n v="306.09591699999999"/>
    <n v="22729300"/>
  </r>
  <r>
    <x v="8974"/>
    <n v="308.35000600000001"/>
    <n v="309.29998799999998"/>
    <n v="307.22000100000002"/>
    <x v="5265"/>
    <n v="307.03228799999999"/>
    <n v="17682100"/>
  </r>
  <r>
    <x v="8975"/>
    <n v="309.209991"/>
    <n v="309.70001200000002"/>
    <n v="306.10998499999999"/>
    <x v="5266"/>
    <n v="306.21545400000002"/>
    <n v="16537100"/>
  </r>
  <r>
    <x v="8976"/>
    <n v="307.17001299999998"/>
    <n v="311.01998900000001"/>
    <n v="306.35998499999999"/>
    <x v="5267"/>
    <n v="309.55242900000002"/>
    <n v="16918100"/>
  </r>
  <r>
    <x v="8977"/>
    <n v="310.39999399999999"/>
    <n v="311.08999599999999"/>
    <n v="307.79998799999998"/>
    <x v="5268"/>
    <n v="307.95864899999998"/>
    <n v="17449300"/>
  </r>
  <r>
    <x v="8978"/>
    <n v="309.35998499999999"/>
    <n v="309.39999399999999"/>
    <n v="306.459991"/>
    <x v="5269"/>
    <n v="306.93267800000001"/>
    <n v="17554500"/>
  </r>
  <r>
    <x v="8979"/>
    <n v="311"/>
    <n v="312.39999399999999"/>
    <n v="308.60000600000001"/>
    <x v="5270"/>
    <n v="308.90493800000002"/>
    <n v="28107300"/>
  </r>
  <r>
    <x v="8980"/>
    <n v="316"/>
    <n v="326.10000600000001"/>
    <n v="316"/>
    <x v="5271"/>
    <n v="321.91424599999999"/>
    <n v="52588700"/>
  </r>
  <r>
    <x v="8981"/>
    <n v="324.32998700000002"/>
    <n v="324.86999500000002"/>
    <n v="321.35998499999999"/>
    <x v="5272"/>
    <n v="323.08963"/>
    <n v="26297900"/>
  </r>
  <r>
    <x v="8982"/>
    <n v="324.13000499999998"/>
    <n v="332"/>
    <n v="323.89999399999999"/>
    <x v="5273"/>
    <n v="330.33136000000002"/>
    <n v="34766000"/>
  </r>
  <r>
    <x v="8983"/>
    <n v="331.35998499999999"/>
    <n v="331.48998999999998"/>
    <n v="326.36999500000002"/>
    <x v="5274"/>
    <n v="328.09011800000002"/>
    <n v="27073200"/>
  </r>
  <r>
    <x v="8984"/>
    <n v="330.30999800000001"/>
    <n v="333.45001200000002"/>
    <n v="330"/>
    <x v="5275"/>
    <n v="331.83551"/>
    <n v="26487100"/>
  </r>
  <r>
    <x v="8985"/>
    <n v="333.89999399999999"/>
    <n v="334.89999399999999"/>
    <n v="330.64999399999999"/>
    <x v="5276"/>
    <n v="332.70211799999998"/>
    <n v="21500100"/>
  </r>
  <r>
    <x v="8986"/>
    <n v="332.89001500000001"/>
    <n v="336.540009"/>
    <n v="329.51001000000002"/>
    <x v="5277"/>
    <n v="335.13262900000001"/>
    <n v="23992200"/>
  </r>
  <r>
    <x v="8987"/>
    <n v="338.51001000000002"/>
    <n v="338.790009"/>
    <n v="334.42001299999998"/>
    <x v="5278"/>
    <n v="334.75412"/>
    <n v="22570100"/>
  </r>
  <r>
    <x v="8988"/>
    <n v="337.29998799999998"/>
    <n v="337.64999399999999"/>
    <n v="334.44000199999999"/>
    <x v="5279"/>
    <n v="335.68051100000002"/>
    <n v="20897000"/>
  </r>
  <r>
    <x v="8989"/>
    <n v="337.10998499999999"/>
    <n v="338.72000100000002"/>
    <n v="334.52999899999998"/>
    <x v="5280"/>
    <n v="334.64456200000001"/>
    <n v="21307400"/>
  </r>
  <r>
    <x v="8990"/>
    <n v="334.57000699999998"/>
    <n v="334.63000499999998"/>
    <n v="329.92001299999998"/>
    <x v="5281"/>
    <n v="329.51455700000002"/>
    <n v="25500900"/>
  </r>
  <r>
    <x v="8991"/>
    <n v="331.25"/>
    <n v="333.76998900000001"/>
    <n v="330.51001000000002"/>
    <x v="5282"/>
    <n v="331.138214"/>
    <n v="16849800"/>
  </r>
  <r>
    <x v="8992"/>
    <n v="333.92001299999998"/>
    <n v="337.23001099999999"/>
    <n v="333.790009"/>
    <x v="5283"/>
    <n v="335.41156000000001"/>
    <n v="23831000"/>
  </r>
  <r>
    <x v="8993"/>
    <n v="337.540009"/>
    <n v="337.88000499999998"/>
    <n v="334.02999899999998"/>
    <x v="5284"/>
    <n v="334.76409899999999"/>
    <n v="16723000"/>
  </r>
  <r>
    <x v="8994"/>
    <n v="335.67999300000002"/>
    <n v="340.67001299999998"/>
    <n v="335.51001000000002"/>
    <x v="5285"/>
    <n v="338.19073500000002"/>
    <n v="20886800"/>
  </r>
  <r>
    <x v="8995"/>
    <n v="338.94000199999999"/>
    <n v="342.19000199999999"/>
    <n v="338"/>
    <x v="5286"/>
    <n v="338.42022700000001"/>
    <n v="19053400"/>
  </r>
  <r>
    <x v="8996"/>
    <n v="338.17999300000002"/>
    <n v="342.45001200000002"/>
    <n v="337.11999500000002"/>
    <x v="5287"/>
    <n v="340.56579599999998"/>
    <n v="22463500"/>
  </r>
  <r>
    <x v="8997"/>
    <n v="342.64001500000001"/>
    <n v="345.10000600000001"/>
    <n v="342.20001200000002"/>
    <x v="5288"/>
    <n v="342.40200800000002"/>
    <n v="21963400"/>
  </r>
  <r>
    <x v="8998"/>
    <n v="344.61999500000002"/>
    <n v="349.67001299999998"/>
    <n v="339.54998799999998"/>
    <x v="5289"/>
    <n v="339.12875400000001"/>
    <n v="31031100"/>
  </r>
  <r>
    <x v="8999"/>
    <n v="337.04998799999998"/>
    <n v="339.45001200000002"/>
    <n v="333.55999800000001"/>
    <x v="5290"/>
    <n v="336.98321499999997"/>
    <n v="30427600"/>
  </r>
  <r>
    <x v="9000"/>
    <n v="336.27999899999998"/>
    <n v="338.16000400000001"/>
    <n v="333.91000400000001"/>
    <x v="5291"/>
    <n v="337.212738"/>
    <n v="21661300"/>
  </r>
  <r>
    <x v="9001"/>
    <n v="334.35000600000001"/>
    <n v="337.92999300000002"/>
    <n v="328.11999500000002"/>
    <x v="5292"/>
    <n v="328.99972500000001"/>
    <n v="24217200"/>
  </r>
  <r>
    <x v="9002"/>
    <n v="334.94000199999999"/>
    <n v="339.02999899999998"/>
    <n v="334.73998999999998"/>
    <x v="5293"/>
    <n v="335.93539399999997"/>
    <n v="28563500"/>
  </r>
  <r>
    <x v="9003"/>
    <n v="335.32000699999998"/>
    <n v="337.77999899999998"/>
    <n v="328.98998999999998"/>
    <x v="5294"/>
    <n v="329.90783699999997"/>
    <n v="42885600"/>
  </r>
  <r>
    <x v="9004"/>
    <n v="335.13000499999998"/>
    <n v="339.27999899999998"/>
    <n v="329.39001500000001"/>
    <x v="5295"/>
    <n v="329.39889499999998"/>
    <n v="33337600"/>
  </r>
  <r>
    <x v="9005"/>
    <n v="330.29998799999998"/>
    <n v="333.48998999999998"/>
    <n v="327.79998799999998"/>
    <x v="5296"/>
    <n v="328.810089"/>
    <n v="30766000"/>
  </r>
  <r>
    <x v="9006"/>
    <n v="331.98998999999998"/>
    <n v="332.70001200000002"/>
    <n v="318.02999899999998"/>
    <x v="5297"/>
    <n v="322.34350599999999"/>
    <n v="41779300"/>
  </r>
  <r>
    <x v="9007"/>
    <n v="323.95001200000002"/>
    <n v="327.45001200000002"/>
    <n v="319.23001099999999"/>
    <x v="5298"/>
    <n v="325.51693699999998"/>
    <n v="30032600"/>
  </r>
  <r>
    <x v="9008"/>
    <n v="331.64001500000001"/>
    <n v="335.79998799999998"/>
    <n v="330.10000600000001"/>
    <x v="5299"/>
    <n v="334.22891199999998"/>
    <n v="31021900"/>
  </r>
  <r>
    <x v="9009"/>
    <n v="335.30999800000001"/>
    <n v="335.5"/>
    <n v="330.79998799999998"/>
    <x v="5300"/>
    <n v="334.27880900000002"/>
    <n v="24761000"/>
  </r>
  <r>
    <x v="9010"/>
    <n v="334.41000400000001"/>
    <n v="336.48998999999998"/>
    <n v="332.11999500000002"/>
    <x v="5301"/>
    <n v="332.41265900000002"/>
    <n v="22214200"/>
  </r>
  <r>
    <x v="9011"/>
    <n v="334.98001099999999"/>
    <n v="343"/>
    <n v="334.790009"/>
    <x v="5302"/>
    <n v="341.833191"/>
    <n v="38095700"/>
  </r>
  <r>
    <x v="9012"/>
    <n v="340.67999300000002"/>
    <n v="343.790009"/>
    <n v="339.07998700000002"/>
    <x v="5303"/>
    <n v="338.69964599999997"/>
    <n v="28899400"/>
  </r>
  <r>
    <x v="9013"/>
    <n v="333.22000100000002"/>
    <n v="334.64001500000001"/>
    <n v="324.10998499999999"/>
    <x v="5304"/>
    <n v="327.66247600000003"/>
    <n v="44438700"/>
  </r>
  <r>
    <x v="9014"/>
    <n v="328.60998499999999"/>
    <n v="335.19000199999999"/>
    <n v="324.5"/>
    <x v="5305"/>
    <n v="333.959473"/>
    <n v="35381100"/>
  </r>
  <r>
    <x v="9015"/>
    <n v="335.709991"/>
    <n v="336.76001000000002"/>
    <n v="323.01998900000001"/>
    <x v="5306"/>
    <n v="324.22958399999999"/>
    <n v="35034800"/>
  </r>
  <r>
    <x v="9016"/>
    <n v="320.88000499999998"/>
    <n v="324.92001299999998"/>
    <n v="317.25"/>
    <x v="5307"/>
    <n v="323.13183600000002"/>
    <n v="47750300"/>
  </r>
  <r>
    <x v="9017"/>
    <n v="320.04998799999998"/>
    <n v="322.79998799999998"/>
    <n v="317.57000699999998"/>
    <x v="5308"/>
    <n v="319.24987800000002"/>
    <n v="28326500"/>
  </r>
  <r>
    <x v="9018"/>
    <n v="323.290009"/>
    <n v="327.73001099999999"/>
    <n v="319.79998799999998"/>
    <x v="5309"/>
    <n v="326.61465500000003"/>
    <n v="24740600"/>
  </r>
  <r>
    <x v="9019"/>
    <n v="328.29998799999998"/>
    <n v="333.60998499999999"/>
    <n v="325.75"/>
    <x v="5310"/>
    <n v="332.51248199999998"/>
    <n v="24831500"/>
  </r>
  <r>
    <x v="9020"/>
    <n v="332.75"/>
    <n v="336.39001500000001"/>
    <n v="332.73001099999999"/>
    <x v="5311"/>
    <n v="333.99939000000001"/>
    <n v="19617800"/>
  </r>
  <r>
    <x v="9021"/>
    <n v="335.459991"/>
    <n v="342.48001099999999"/>
    <n v="335.42999300000002"/>
    <x v="5312"/>
    <n v="341.74337800000001"/>
    <n v="19947000"/>
  </r>
  <r>
    <x v="9022"/>
    <n v="343.14999399999999"/>
    <n v="343.80999800000001"/>
    <n v="340.32000699999998"/>
    <x v="5313"/>
    <n v="340.54583700000001"/>
    <n v="15661500"/>
  </r>
  <r>
    <x v="9023"/>
    <n v="341.29998799999998"/>
    <n v="344.29998799999998"/>
    <n v="339.67999300000002"/>
    <x v="5314"/>
    <n v="341.244415"/>
    <n v="15042000"/>
  </r>
  <r>
    <x v="9024"/>
    <n v="341.91000400000001"/>
    <n v="343.13000499999998"/>
    <n v="338.82000699999998"/>
    <x v="5315"/>
    <n v="338.619843"/>
    <n v="15994500"/>
  </r>
  <r>
    <x v="9025"/>
    <n v="338.51001000000002"/>
    <n v="339.35998499999999"/>
    <n v="335.85000600000001"/>
    <x v="5316"/>
    <n v="335.62603799999999"/>
    <n v="18000800"/>
  </r>
  <r>
    <x v="9026"/>
    <n v="335.35000600000001"/>
    <n v="338"/>
    <n v="329.77999899999998"/>
    <x v="5317"/>
    <n v="334.05926499999998"/>
    <n v="28865100"/>
  </r>
  <r>
    <x v="9027"/>
    <n v="334.82998700000002"/>
    <n v="335.20001200000002"/>
    <n v="326.11999500000002"/>
    <x v="5318"/>
    <n v="328.33111600000001"/>
    <n v="32674300"/>
  </r>
  <r>
    <x v="9028"/>
    <n v="325.85998499999999"/>
    <n v="326.07000699999998"/>
    <n v="315.98001099999999"/>
    <x v="5319"/>
    <n v="315.72717299999999"/>
    <n v="40054300"/>
  </r>
  <r>
    <x v="9029"/>
    <n v="313.14999399999999"/>
    <n v="318.70001200000002"/>
    <n v="311.48998999999998"/>
    <x v="5320"/>
    <n v="313.23232999999999"/>
    <n v="39646100"/>
  </r>
  <r>
    <x v="9030"/>
    <n v="314.14999399999999"/>
    <n v="316.5"/>
    <n v="310.08999599999999"/>
    <x v="5321"/>
    <n v="313.391998"/>
    <n v="32720000"/>
  </r>
  <r>
    <x v="9031"/>
    <n v="309.48998999999998"/>
    <n v="314.72000100000002"/>
    <n v="304.69000199999999"/>
    <x v="5322"/>
    <n v="313.62152099999997"/>
    <n v="44289500"/>
  </r>
  <r>
    <x v="9032"/>
    <n v="313.38000499999998"/>
    <n v="316.60998499999999"/>
    <n v="309.89001500000001"/>
    <x v="5323"/>
    <n v="314.33007800000001"/>
    <n v="29386800"/>
  </r>
  <r>
    <x v="9033"/>
    <n v="319.67001299999998"/>
    <n v="323.41000400000001"/>
    <n v="317.07998700000002"/>
    <x v="5324"/>
    <n v="317.61325099999999"/>
    <n v="34372200"/>
  </r>
  <r>
    <x v="9034"/>
    <n v="320.47000100000002"/>
    <n v="320.88000499999998"/>
    <n v="304"/>
    <x v="5325"/>
    <n v="304.17105099999998"/>
    <n v="45366000"/>
  </r>
  <r>
    <x v="9035"/>
    <n v="304.25"/>
    <n v="310.82000699999998"/>
    <n v="303.75"/>
    <x v="5326"/>
    <n v="309.55993699999999"/>
    <n v="39846400"/>
  </r>
  <r>
    <x v="9036"/>
    <n v="304.07000699999998"/>
    <n v="309.79998799999998"/>
    <n v="301.73998999999998"/>
    <x v="5327"/>
    <n v="302.02548200000001"/>
    <n v="42333200"/>
  </r>
  <r>
    <x v="9037"/>
    <n v="306.290009"/>
    <n v="313.91000400000001"/>
    <n v="302.70001200000002"/>
    <x v="5328"/>
    <n v="302.704071"/>
    <n v="45933900"/>
  </r>
  <r>
    <x v="9038"/>
    <n v="309.07000699999998"/>
    <n v="311.64999399999999"/>
    <n v="301.14001500000001"/>
    <x v="5329"/>
    <n v="300.97766100000001"/>
    <n v="35380700"/>
  </r>
  <r>
    <x v="9039"/>
    <n v="302.69000199999999"/>
    <n v="304.10998499999999"/>
    <n v="295.60998499999999"/>
    <x v="5330"/>
    <n v="295.41915899999998"/>
    <n v="57984400"/>
  </r>
  <r>
    <x v="9040"/>
    <n v="292.20001200000002"/>
    <n v="297.10998499999999"/>
    <n v="276.04998799999998"/>
    <x v="5331"/>
    <n v="295.75845299999997"/>
    <n v="85731500"/>
  </r>
  <r>
    <x v="9041"/>
    <n v="291.51998900000001"/>
    <n v="294.98998999999998"/>
    <n v="285.17001299999998"/>
    <x v="5332"/>
    <n v="287.89471400000002"/>
    <n v="72848600"/>
  </r>
  <r>
    <x v="9042"/>
    <n v="307.98998999999998"/>
    <n v="308.5"/>
    <n v="293.02999899999998"/>
    <x v="5333"/>
    <n v="296.09774800000002"/>
    <n v="90428900"/>
  </r>
  <r>
    <x v="9043"/>
    <n v="302.66000400000001"/>
    <n v="307.29998799999998"/>
    <n v="297.92999300000002"/>
    <x v="5334"/>
    <n v="299.22128300000003"/>
    <n v="53481300"/>
  </r>
  <r>
    <x v="9044"/>
    <n v="300.23001099999999"/>
    <n v="308.48001099999999"/>
    <n v="294.45001200000002"/>
    <x v="5335"/>
    <n v="307.62393200000002"/>
    <n v="49743700"/>
  </r>
  <r>
    <x v="9045"/>
    <n v="308.95001200000002"/>
    <n v="312.38000499999998"/>
    <n v="306.36999500000002"/>
    <x v="5336"/>
    <n v="310.33831800000002"/>
    <n v="46444500"/>
  </r>
  <r>
    <x v="9046"/>
    <n v="310.41000400000001"/>
    <n v="310.63000499999998"/>
    <n v="305.13000499999998"/>
    <x v="5337"/>
    <n v="308.12289399999997"/>
    <n v="40950400"/>
  </r>
  <r>
    <x v="9047"/>
    <n v="309.63000499999998"/>
    <n v="315.11999500000002"/>
    <n v="308.88000499999998"/>
    <x v="5338"/>
    <n v="312.81317100000001"/>
    <n v="36636000"/>
  </r>
  <r>
    <x v="9048"/>
    <n v="309.48998999999998"/>
    <n v="311.23001099999999"/>
    <n v="299.959991"/>
    <x v="5339"/>
    <n v="300.62838699999998"/>
    <n v="43730000"/>
  </r>
  <r>
    <x v="9049"/>
    <n v="300.209991"/>
    <n v="308.79998799999998"/>
    <n v="299.97000100000002"/>
    <x v="5340"/>
    <n v="305.308716"/>
    <n v="35096500"/>
  </r>
  <r>
    <x v="9050"/>
    <n v="306.17001299999998"/>
    <n v="307.83999599999999"/>
    <n v="299.89999399999999"/>
    <x v="5341"/>
    <n v="300.32900999999998"/>
    <n v="28533300"/>
  </r>
  <r>
    <x v="9051"/>
    <n v="301.25"/>
    <n v="305.55999800000001"/>
    <n v="299.95001200000002"/>
    <x v="5342"/>
    <n v="303.93154900000002"/>
    <n v="32421200"/>
  </r>
  <r>
    <x v="9052"/>
    <n v="309.86999500000002"/>
    <n v="311.92999300000002"/>
    <n v="307.39001500000001"/>
    <x v="5343"/>
    <n v="310.56781000000001"/>
    <n v="31284700"/>
  </r>
  <r>
    <x v="9053"/>
    <n v="304.040009"/>
    <n v="309.11999500000002"/>
    <n v="300.70001200000002"/>
    <x v="5344"/>
    <n v="301.75607300000001"/>
    <n v="45386200"/>
  </r>
  <r>
    <x v="9054"/>
    <n v="303.19000199999999"/>
    <n v="304.290009"/>
    <n v="294.22000100000002"/>
    <x v="5345"/>
    <n v="294.43121300000001"/>
    <n v="39175600"/>
  </r>
  <r>
    <x v="9055"/>
    <n v="293.76998900000001"/>
    <n v="296.76001000000002"/>
    <n v="291.35000600000001"/>
    <x v="5346"/>
    <n v="294.39129600000001"/>
    <n v="36359500"/>
  </r>
  <r>
    <x v="9056"/>
    <n v="300.01001000000002"/>
    <n v="300.79998799999998"/>
    <n v="297.01998900000001"/>
    <x v="5347"/>
    <n v="299.85000600000001"/>
    <n v="27058300"/>
  </r>
  <r>
    <x v="9057"/>
    <n v="298.36999500000002"/>
    <n v="300.86999500000002"/>
    <n v="293.67999300000002"/>
    <x v="5348"/>
    <n v="299.5"/>
    <n v="29982100"/>
  </r>
  <r>
    <x v="9058"/>
    <n v="296.35998499999999"/>
    <n v="296.79998799999998"/>
    <n v="290"/>
    <x v="5223"/>
    <n v="290.73001099999999"/>
    <n v="32461600"/>
  </r>
  <r>
    <x v="9059"/>
    <n v="293.04998799999998"/>
    <n v="293.85998499999999"/>
    <n v="286.30999800000001"/>
    <x v="5349"/>
    <n v="287.92999300000002"/>
    <n v="34264000"/>
  </r>
  <r>
    <x v="9060"/>
    <n v="285"/>
    <n v="291.540009"/>
    <n v="284.5"/>
    <x v="5350"/>
    <n v="287.72000100000002"/>
    <n v="41736100"/>
  </r>
  <r>
    <x v="9061"/>
    <n v="290.17999300000002"/>
    <n v="291.70001200000002"/>
    <n v="280.10000600000001"/>
    <x v="5351"/>
    <n v="280.26998900000001"/>
    <n v="37811200"/>
  </r>
  <r>
    <x v="9062"/>
    <n v="272.51001000000002"/>
    <n v="295.16000400000001"/>
    <n v="271.51998900000001"/>
    <x v="5352"/>
    <n v="294.58999599999999"/>
    <n v="56989700"/>
  </r>
  <r>
    <x v="9063"/>
    <n v="295.14001500000001"/>
    <n v="297.63000499999998"/>
    <n v="291.64999399999999"/>
    <x v="5353"/>
    <n v="297.30999800000001"/>
    <n v="32546700"/>
  </r>
  <r>
    <x v="9064"/>
    <n v="294.30999800000001"/>
    <n v="299.14001500000001"/>
    <n v="293"/>
    <x v="5354"/>
    <n v="298.790009"/>
    <n v="34627500"/>
  </r>
  <r>
    <x v="9065"/>
    <n v="296.39999399999999"/>
    <n v="299.97000100000002"/>
    <n v="292.14999399999999"/>
    <x v="5355"/>
    <n v="294.95001200000002"/>
    <n v="31217800"/>
  </r>
  <r>
    <x v="9066"/>
    <n v="295.35998499999999"/>
    <n v="301.47000100000002"/>
    <n v="293.70001200000002"/>
    <x v="5356"/>
    <n v="300.19000199999999"/>
    <n v="31873000"/>
  </r>
  <r>
    <x v="9067"/>
    <n v="302.89001500000001"/>
    <n v="303.13000499999998"/>
    <n v="294.04998799999998"/>
    <x v="5357"/>
    <n v="295.92001299999998"/>
    <n v="27314500"/>
  </r>
  <r>
    <x v="9068"/>
    <n v="294.290009"/>
    <n v="295.66000400000001"/>
    <n v="287.17001299999998"/>
    <x v="5358"/>
    <n v="289.85998499999999"/>
    <n v="32356500"/>
  </r>
  <r>
    <x v="9069"/>
    <n v="288.52999899999998"/>
    <n v="289.69000199999999"/>
    <n v="278.52999899999998"/>
    <x v="5359"/>
    <n v="278.91000400000001"/>
    <n v="43157200"/>
  </r>
  <r>
    <x v="9070"/>
    <n v="277.79998799999998"/>
    <n v="283.959991"/>
    <n v="270"/>
    <x v="5360"/>
    <n v="275.85000600000001"/>
    <n v="48159500"/>
  </r>
  <r>
    <x v="9071"/>
    <n v="283.44000199999999"/>
    <n v="289.60000600000001"/>
    <n v="280.77999899999998"/>
    <x v="5361"/>
    <n v="288.5"/>
    <n v="35204500"/>
  </r>
  <r>
    <x v="9072"/>
    <n v="283.01998900000001"/>
    <n v="286.60000600000001"/>
    <n v="280.57998700000002"/>
    <x v="5362"/>
    <n v="285.58999599999999"/>
    <n v="30628000"/>
  </r>
  <r>
    <x v="9073"/>
    <n v="287.959991"/>
    <n v="289.51001000000002"/>
    <n v="279.42999300000002"/>
    <x v="5363"/>
    <n v="280.07000699999998"/>
    <n v="27209300"/>
  </r>
  <r>
    <x v="9074"/>
    <n v="280.33999599999999"/>
    <n v="285.39999399999999"/>
    <n v="275.82000699999998"/>
    <x v="5364"/>
    <n v="276.44000199999999"/>
    <n v="30660700"/>
  </r>
  <r>
    <x v="9075"/>
    <n v="280.35000600000001"/>
    <n v="287.82000699999998"/>
    <n v="278.73001099999999"/>
    <x v="5365"/>
    <n v="287.14999399999999"/>
    <n v="34245100"/>
  </r>
  <r>
    <x v="9076"/>
    <n v="289.10998499999999"/>
    <n v="294.57000699999998"/>
    <n v="283.20001200000002"/>
    <x v="5366"/>
    <n v="294.39001500000001"/>
    <n v="37826300"/>
  </r>
  <r>
    <x v="9077"/>
    <n v="293.290009"/>
    <n v="295.60998499999999"/>
    <n v="289.36999500000002"/>
    <x v="5367"/>
    <n v="295.22000100000002"/>
    <n v="30816600"/>
  </r>
  <r>
    <x v="9078"/>
    <n v="295.36999500000002"/>
    <n v="301"/>
    <n v="292.73001099999999"/>
    <x v="5368"/>
    <n v="300.42999300000002"/>
    <n v="43390600"/>
  </r>
  <r>
    <x v="9079"/>
    <n v="298.89001500000001"/>
    <n v="300.14001500000001"/>
    <n v="294.89999399999999"/>
    <x v="5369"/>
    <n v="299.16000400000001"/>
    <n v="28351200"/>
  </r>
  <r>
    <x v="9080"/>
    <n v="299.79998799999998"/>
    <n v="305"/>
    <n v="298.76998900000001"/>
    <x v="5370"/>
    <n v="304.05999800000001"/>
    <n v="27599700"/>
  </r>
  <r>
    <x v="9081"/>
    <n v="300.51001000000002"/>
    <n v="303.23001099999999"/>
    <n v="297.72000100000002"/>
    <x v="5371"/>
    <n v="299.48998999999998"/>
    <n v="25715400"/>
  </r>
  <r>
    <x v="9082"/>
    <n v="299.14001500000001"/>
    <n v="304.20001200000002"/>
    <n v="298.32000699999998"/>
    <x v="5372"/>
    <n v="304.10000600000001"/>
    <n v="24484500"/>
  </r>
  <r>
    <x v="9083"/>
    <n v="305.23001099999999"/>
    <n v="305.5"/>
    <n v="299.290009"/>
    <x v="5373"/>
    <n v="303.67999300000002"/>
    <n v="22566500"/>
  </r>
  <r>
    <x v="9084"/>
    <n v="304.32998700000002"/>
    <n v="310.79998799999998"/>
    <n v="304.32998700000002"/>
    <x v="5374"/>
    <n v="310.70001200000002"/>
    <n v="29578200"/>
  </r>
  <r>
    <x v="9085"/>
    <n v="313.91000400000001"/>
    <n v="315.82000699999998"/>
    <n v="309.04998799999998"/>
    <x v="5375"/>
    <n v="315.41000400000001"/>
    <n v="30393400"/>
  </r>
  <r>
    <x v="9086"/>
    <n v="313.76001000000002"/>
    <n v="315.95001200000002"/>
    <n v="311.57998700000002"/>
    <x v="5376"/>
    <n v="313.85998499999999"/>
    <n v="28163600"/>
  </r>
  <r>
    <x v="9087"/>
    <n v="313.89999399999999"/>
    <n v="315.14001500000001"/>
    <n v="307.89001500000001"/>
    <x v="5377"/>
    <n v="308.30999800000001"/>
    <n v="33422100"/>
  </r>
  <r>
    <x v="9088"/>
    <n v="309.36999500000002"/>
    <n v="310.13000499999998"/>
    <n v="305.540009"/>
    <x v="5378"/>
    <n v="309.42001299999998"/>
    <n v="27085100"/>
  </r>
  <r>
    <x v="9089"/>
    <n v="310.08999599999999"/>
    <n v="315.10998499999999"/>
    <n v="309.709991"/>
    <x v="5379"/>
    <n v="314.97000100000002"/>
    <n v="24289600"/>
  </r>
  <r>
    <x v="9090"/>
    <n v="313.26998900000001"/>
    <n v="314.86999500000002"/>
    <n v="309.86999500000002"/>
    <x v="5380"/>
    <n v="310.88000499999998"/>
    <n v="23156700"/>
  </r>
  <r>
    <x v="9091"/>
    <n v="305.19000199999999"/>
    <n v="307"/>
    <n v="296.709991"/>
    <x v="5348"/>
    <n v="299.5"/>
    <n v="40110400"/>
  </r>
  <r>
    <x v="9092"/>
    <n v="296.66000400000001"/>
    <n v="303.64999399999999"/>
    <n v="296.35000600000001"/>
    <x v="5381"/>
    <n v="301.36999500000002"/>
    <n v="31411200"/>
  </r>
  <r>
    <x v="9093"/>
    <n v="300.44000199999999"/>
    <n v="301.11999500000002"/>
    <n v="296.27999899999998"/>
    <x v="5382"/>
    <n v="296.97000100000002"/>
    <n v="24347400"/>
  </r>
  <r>
    <x v="9094"/>
    <n v="291.790009"/>
    <n v="292.60998499999999"/>
    <n v="285"/>
    <x v="5383"/>
    <n v="285.26001000000002"/>
    <n v="34569300"/>
  </r>
  <r>
    <x v="9095"/>
    <n v="289.23998999999998"/>
    <n v="290.73998999999998"/>
    <n v="280.48998999999998"/>
    <x v="5384"/>
    <n v="282.05999800000001"/>
    <n v="30966700"/>
  </r>
  <r>
    <x v="9096"/>
    <n v="282.73001099999999"/>
    <n v="288.57998700000002"/>
    <n v="281.29998799999998"/>
    <x v="5385"/>
    <n v="287.61999500000002"/>
    <n v="21907200"/>
  </r>
  <r>
    <x v="9097"/>
    <n v="288.08999599999999"/>
    <n v="288.30999800000001"/>
    <n v="279.32000699999998"/>
    <x v="5386"/>
    <n v="279.82998700000002"/>
    <n v="281079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
  <r>
    <x v="0"/>
    <n v="10.039999999999999"/>
    <n v="18.497143000000001"/>
    <n v="10.018571"/>
    <n v="17.171429"/>
    <n v="17.171429"/>
    <n v="1829322600"/>
  </r>
  <r>
    <x v="1"/>
    <n v="17.344286"/>
    <n v="19.061427999999999"/>
    <n v="15.234286000000001"/>
    <n v="15.818571"/>
    <n v="15.818571"/>
    <n v="1002673700"/>
  </r>
  <r>
    <x v="2"/>
    <n v="15.585713999999999"/>
    <n v="17.639999"/>
    <n v="14.647143"/>
    <n v="16.434286"/>
    <n v="16.434286"/>
    <n v="814660700"/>
  </r>
  <r>
    <x v="3"/>
    <n v="16.399999999999999"/>
    <n v="16.399999999999999"/>
    <n v="11.394285999999999"/>
    <n v="11.448570999999999"/>
    <n v="11.448570999999999"/>
    <n v="842254000"/>
  </r>
  <r>
    <x v="4"/>
    <n v="11.47"/>
    <n v="11.854286"/>
    <n v="8.91"/>
    <n v="9.0628569999999993"/>
    <n v="9.0628569999999993"/>
    <n v="788860800"/>
  </r>
  <r>
    <x v="5"/>
    <n v="8.7071430000000003"/>
    <n v="10.068571"/>
    <n v="8.6714289999999998"/>
    <n v="9.7842859999999998"/>
    <n v="9.7842859999999998"/>
    <n v="499411500"/>
  </r>
  <r>
    <x v="6"/>
    <n v="9.8242860000000007"/>
    <n v="12.378571000000001"/>
    <n v="8.02"/>
    <n v="8.1214289999999991"/>
    <n v="8.1214289999999991"/>
    <n v="988045100"/>
  </r>
  <r>
    <x v="7"/>
    <n v="8.2042859999999997"/>
    <n v="9.5214289999999995"/>
    <n v="7.5442859999999996"/>
    <n v="8.5314289999999993"/>
    <n v="8.5314289999999993"/>
    <n v="601008800"/>
  </r>
  <r>
    <x v="8"/>
    <n v="8.2857140000000005"/>
    <n v="8.774286"/>
    <n v="7.5785710000000002"/>
    <n v="7.7771429999999997"/>
    <n v="7.7771429999999997"/>
    <n v="639131500"/>
  </r>
  <r>
    <x v="9"/>
    <n v="7.8"/>
    <n v="12.135714"/>
    <n v="7.7628570000000003"/>
    <n v="11.32"/>
    <n v="11.32"/>
    <n v="1114314600"/>
  </r>
  <r>
    <x v="10"/>
    <n v="11.121428999999999"/>
    <n v="12.08"/>
    <n v="10.642856999999999"/>
    <n v="11.672857"/>
    <n v="11.672857"/>
    <n v="498027600"/>
  </r>
  <r>
    <x v="11"/>
    <n v="11.692857"/>
    <n v="13.971429000000001"/>
    <n v="10.642856999999999"/>
    <n v="13.227143"/>
    <n v="13.227143"/>
    <n v="598236100"/>
  </r>
  <r>
    <x v="12"/>
    <n v="13.601429"/>
    <n v="25.321428000000001"/>
    <n v="12.955714"/>
    <n v="23.605715"/>
    <n v="23.605715"/>
    <n v="991909100"/>
  </r>
  <r>
    <x v="13"/>
    <n v="24.285713000000001"/>
    <n v="28.231428000000001"/>
    <n v="23.254286"/>
    <n v="26.868569999999998"/>
    <n v="26.868569999999998"/>
    <n v="755571600"/>
  </r>
  <r>
    <x v="14"/>
    <n v="26.73"/>
    <n v="28.151427999999999"/>
    <n v="25.165714000000001"/>
    <n v="27.040001"/>
    <n v="27.040001"/>
    <n v="520408700"/>
  </r>
  <r>
    <x v="15"/>
    <n v="27.278569999999998"/>
    <n v="32.042858000000003"/>
    <n v="22.714286999999999"/>
    <n v="30.867144"/>
    <n v="30.867144"/>
    <n v="854536200"/>
  </r>
  <r>
    <x v="16"/>
    <n v="30.845714999999998"/>
    <n v="35.549999"/>
    <n v="29.145714000000002"/>
    <n v="32.321429999999999"/>
    <n v="32.321429999999999"/>
    <n v="536788000"/>
  </r>
  <r>
    <x v="17"/>
    <n v="32.435715000000002"/>
    <n v="33.697144000000002"/>
    <n v="29.392856999999999"/>
    <n v="30.155714"/>
    <n v="30.155714"/>
    <n v="412636700"/>
  </r>
  <r>
    <x v="18"/>
    <n v="30.517143000000001"/>
    <n v="38.615715000000002"/>
    <n v="30.285713000000001"/>
    <n v="34.925713000000002"/>
    <n v="34.925713000000002"/>
    <n v="542920700"/>
  </r>
  <r>
    <x v="19"/>
    <n v="35.220001000000003"/>
    <n v="41.46143"/>
    <n v="34.482857000000003"/>
    <n v="40.558571000000001"/>
    <n v="40.558571000000001"/>
    <n v="416838800"/>
  </r>
  <r>
    <x v="20"/>
    <n v="41.061427999999999"/>
    <n v="45.77"/>
    <n v="40.650002000000001"/>
    <n v="44.172854999999998"/>
    <n v="44.172854999999998"/>
    <n v="386857800"/>
  </r>
  <r>
    <x v="21"/>
    <n v="44.967143999999998"/>
    <n v="55.594287999999999"/>
    <n v="40.400002000000001"/>
    <n v="46.068568999999997"/>
    <n v="46.068568999999997"/>
    <n v="840456400"/>
  </r>
  <r>
    <x v="22"/>
    <n v="46.975715999999998"/>
    <n v="52.542858000000003"/>
    <n v="46.450001"/>
    <n v="52.257140999999997"/>
    <n v="52.257140999999997"/>
    <n v="343557900"/>
  </r>
  <r>
    <x v="23"/>
    <n v="52.125712999999998"/>
    <n v="54.851429000000003"/>
    <n v="50.285713000000001"/>
    <n v="52.595714999999998"/>
    <n v="52.595714999999998"/>
    <n v="313308800"/>
  </r>
  <r>
    <x v="24"/>
    <n v="52.401428000000003"/>
    <n v="58.914287999999999"/>
    <n v="45.581429"/>
    <n v="58.475715999999998"/>
    <n v="58.475715999999998"/>
    <n v="600418700"/>
  </r>
  <r>
    <x v="25"/>
    <n v="58.842857000000002"/>
    <n v="65.398567"/>
    <n v="56.715713999999998"/>
    <n v="63.661430000000003"/>
    <n v="63.661430000000003"/>
    <n v="317384200"/>
  </r>
  <r>
    <x v="26"/>
    <n v="63.027141999999998"/>
    <n v="65.428573999999998"/>
    <n v="49.982857000000003"/>
    <n v="50.290000999999997"/>
    <n v="50.290000999999997"/>
    <n v="377239800"/>
  </r>
  <r>
    <x v="27"/>
    <n v="50.25"/>
    <n v="54.411430000000003"/>
    <n v="42.785713000000001"/>
    <n v="46.005713999999998"/>
    <n v="46.005713999999998"/>
    <n v="648605300"/>
  </r>
  <r>
    <x v="28"/>
    <n v="46.292858000000003"/>
    <n v="60.248569000000003"/>
    <n v="44.908569"/>
    <n v="59.689999"/>
    <n v="59.689999"/>
    <n v="523837300"/>
  </r>
  <r>
    <x v="29"/>
    <n v="59.925713000000002"/>
    <n v="64.402855000000002"/>
    <n v="58.928570000000001"/>
    <n v="62.942855999999999"/>
    <n v="62.942855999999999"/>
    <n v="352660000"/>
  </r>
  <r>
    <x v="30"/>
    <n v="65.175713000000002"/>
    <n v="67.981430000000003"/>
    <n v="59.78857"/>
    <n v="60.388573000000001"/>
    <n v="60.388573000000001"/>
    <n v="429839200"/>
  </r>
  <r>
    <x v="31"/>
    <n v="60.251430999999997"/>
    <n v="69.328568000000004"/>
    <n v="58.93"/>
    <n v="68.234283000000005"/>
    <n v="68.234283000000005"/>
    <n v="274274000"/>
  </r>
  <r>
    <x v="32"/>
    <n v="68.357140000000001"/>
    <n v="69.898567"/>
    <n v="62.697144000000002"/>
    <n v="64.454284999999999"/>
    <n v="64.454284999999999"/>
    <n v="268345700"/>
  </r>
  <r>
    <x v="33"/>
    <n v="64.098572000000004"/>
    <n v="66.855712999999994"/>
    <n v="47.285713000000001"/>
    <n v="56.110000999999997"/>
    <n v="56.110000999999997"/>
    <n v="583226000"/>
  </r>
  <r>
    <x v="34"/>
    <n v="56.175713000000002"/>
    <n v="56.502856999999999"/>
    <n v="49.142856999999999"/>
    <n v="49.512855999999999"/>
    <n v="49.512855999999999"/>
    <n v="256594800"/>
  </r>
  <r>
    <x v="35"/>
    <n v="49.285713000000001"/>
    <n v="51.135714999999998"/>
    <n v="45.077145000000002"/>
    <n v="48.801430000000003"/>
    <n v="48.801430000000003"/>
    <n v="265990200"/>
  </r>
  <r>
    <x v="36"/>
    <n v="49.151428000000003"/>
    <n v="65.339995999999999"/>
    <n v="45.264285999999998"/>
    <n v="63.114285000000002"/>
    <n v="63.114285000000002"/>
    <n v="425938100"/>
  </r>
  <r>
    <x v="37"/>
    <n v="62.842857000000002"/>
    <n v="69.5"/>
    <n v="61.955714999999998"/>
    <n v="67.844284000000002"/>
    <n v="67.844284000000002"/>
    <n v="209678700"/>
  </r>
  <r>
    <x v="38"/>
    <n v="67.714286999999999"/>
    <n v="68.607140000000001"/>
    <n v="58.572856999999999"/>
    <n v="59.527141999999998"/>
    <n v="59.527141999999998"/>
    <n v="327866000"/>
  </r>
  <r>
    <x v="39"/>
    <n v="59.642856999999999"/>
    <n v="82.304282999999998"/>
    <n v="58.464286999999999"/>
    <n v="79.5"/>
    <n v="79.5"/>
    <n v="508463900"/>
  </r>
  <r>
    <x v="40"/>
    <n v="79.855712999999994"/>
    <n v="90.205710999999994"/>
    <n v="78.894287000000006"/>
    <n v="89.151427999999996"/>
    <n v="89.151427999999996"/>
    <n v="280030800"/>
  </r>
  <r>
    <x v="41"/>
    <n v="88.837142999999998"/>
    <n v="100.891426"/>
    <n v="87.944282999999999"/>
    <n v="93.848572000000004"/>
    <n v="93.848572000000004"/>
    <n v="469260400"/>
  </r>
  <r>
    <x v="42"/>
    <n v="94.805717000000001"/>
    <n v="117.879997"/>
    <n v="92.284285999999994"/>
    <n v="114.30999799999999"/>
    <n v="114.30999799999999"/>
    <n v="406357500"/>
  </r>
  <r>
    <x v="43"/>
    <n v="114.599998"/>
    <n v="129.28999300000001"/>
    <n v="85.5"/>
    <n v="115.029999"/>
    <n v="115.029999"/>
    <n v="469661800"/>
  </r>
  <r>
    <x v="44"/>
    <n v="109.349998"/>
    <n v="111.239998"/>
    <n v="93.550003000000004"/>
    <n v="103.260002"/>
    <n v="103.260002"/>
    <n v="497401200"/>
  </r>
  <r>
    <x v="45"/>
    <n v="102.910004"/>
    <n v="115.83000199999999"/>
    <n v="96.260002"/>
    <n v="108.379997"/>
    <n v="108.379997"/>
    <n v="446204400"/>
  </r>
  <r>
    <x v="46"/>
    <n v="109.199997"/>
    <n v="126.599998"/>
    <n v="101.860001"/>
    <n v="123.33000199999999"/>
    <n v="123.33000199999999"/>
    <n v="320321800"/>
  </r>
  <r>
    <x v="47"/>
    <n v="124.470001"/>
    <n v="133.270004"/>
    <n v="113.849998"/>
    <n v="114.379997"/>
    <n v="114.379997"/>
    <n v="319939200"/>
  </r>
  <r>
    <x v="48"/>
    <n v="109"/>
    <n v="122.18"/>
    <n v="90.110000999999997"/>
    <n v="91.839995999999999"/>
    <n v="91.839995999999999"/>
    <n v="488193200"/>
  </r>
  <r>
    <x v="49"/>
    <n v="91.790001000000004"/>
    <n v="97.480002999999996"/>
    <n v="79.949996999999996"/>
    <n v="93.410004000000001"/>
    <n v="93.410004000000001"/>
    <n v="389268900"/>
  </r>
  <r>
    <x v="50"/>
    <n v="94.580001999999993"/>
    <n v="104.910004"/>
    <n v="93.610000999999997"/>
    <n v="102.230003"/>
    <n v="102.230003"/>
    <n v="311333700"/>
  </r>
  <r>
    <x v="51"/>
    <n v="102.93"/>
    <n v="111.849998"/>
    <n v="88.209998999999996"/>
    <n v="90.029999000000004"/>
    <n v="90.029999000000004"/>
    <n v="340174300"/>
  </r>
  <r>
    <x v="52"/>
    <n v="90.410004000000001"/>
    <n v="104"/>
    <n v="85.739998"/>
    <n v="102.57"/>
    <n v="102.57"/>
    <n v="264997900"/>
  </r>
  <r>
    <x v="53"/>
    <n v="101.5"/>
    <n v="102.150002"/>
    <n v="84.809997999999993"/>
    <n v="91.480002999999996"/>
    <n v="91.480002999999996"/>
    <n v="218216500"/>
  </r>
  <r>
    <x v="54"/>
    <n v="95"/>
    <n v="101.269997"/>
    <n v="84.5"/>
    <n v="91.25"/>
    <n v="91.25"/>
    <n v="320138000"/>
  </r>
  <r>
    <x v="55"/>
    <n v="91.230002999999996"/>
    <n v="98.849997999999999"/>
    <n v="90.5"/>
    <n v="97.449996999999996"/>
    <n v="97.449996999999996"/>
    <n v="182611000"/>
  </r>
  <r>
    <x v="56"/>
    <n v="97.809997999999993"/>
    <n v="100.349998"/>
    <n v="93.260002"/>
    <n v="98.550003000000004"/>
    <n v="98.550003000000004"/>
    <n v="169670600"/>
  </r>
  <r>
    <x v="57"/>
    <n v="98"/>
    <n v="129.28999300000001"/>
    <n v="97.629997000000003"/>
    <n v="124.870003"/>
    <n v="124.870003"/>
    <n v="274097800"/>
  </r>
  <r>
    <x v="58"/>
    <n v="124.980003"/>
    <n v="125.83000199999999"/>
    <n v="110.68"/>
    <n v="117"/>
    <n v="117"/>
    <n v="147513000"/>
  </r>
  <r>
    <x v="59"/>
    <n v="117.519997"/>
    <n v="129.070007"/>
    <n v="113.949997"/>
    <n v="123.800003"/>
    <n v="123.800003"/>
    <n v="128528700"/>
  </r>
  <r>
    <x v="60"/>
    <n v="124.959999"/>
    <n v="143.46000699999999"/>
    <n v="124.30999799999999"/>
    <n v="140.71000699999999"/>
    <n v="140.71000699999999"/>
    <n v="181814100"/>
  </r>
  <r>
    <x v="61"/>
    <n v="141.199997"/>
    <n v="145.949997"/>
    <n v="139.050003"/>
    <n v="142.13000500000001"/>
    <n v="142.13000500000001"/>
    <n v="91444800"/>
  </r>
  <r>
    <x v="62"/>
    <n v="142.83999600000001"/>
    <n v="148.28999300000001"/>
    <n v="138.259995"/>
    <n v="147.80999800000001"/>
    <n v="147.80999800000001"/>
    <n v="110692700"/>
  </r>
  <r>
    <x v="63"/>
    <n v="146.699997"/>
    <n v="153.520004"/>
    <n v="138.66000399999999"/>
    <n v="152.199997"/>
    <n v="152.199997"/>
    <n v="149779000"/>
  </r>
  <r>
    <x v="64"/>
    <n v="151.91000399999999"/>
    <n v="164.75"/>
    <n v="151.61000100000001"/>
    <n v="163.070007"/>
    <n v="163.070007"/>
    <n v="116795800"/>
  </r>
  <r>
    <x v="65"/>
    <n v="163.520004"/>
    <n v="166.86999499999999"/>
    <n v="147.300003"/>
    <n v="149.41000399999999"/>
    <n v="149.41000399999999"/>
    <n v="135699700"/>
  </r>
  <r>
    <x v="66"/>
    <n v="149.800003"/>
    <n v="191.5"/>
    <n v="144.25"/>
    <n v="181.66000399999999"/>
    <n v="181.66000399999999"/>
    <n v="185144700"/>
  </r>
  <r>
    <x v="67"/>
    <n v="182.490005"/>
    <n v="184.61999499999999"/>
    <n v="164.229996"/>
    <n v="174.71000699999999"/>
    <n v="174.71000699999999"/>
    <n v="136534400"/>
  </r>
  <r>
    <x v="68"/>
    <n v="175.550003"/>
    <n v="189.949997"/>
    <n v="172.44000199999999"/>
    <n v="181.35000600000001"/>
    <n v="181.35000600000001"/>
    <n v="111427900"/>
  </r>
  <r>
    <x v="69"/>
    <n v="182.11000100000001"/>
    <n v="204.38000500000001"/>
    <n v="176.58000200000001"/>
    <n v="196.429993"/>
    <n v="196.429993"/>
    <n v="208657800"/>
  </r>
  <r>
    <x v="70"/>
    <n v="197.240005"/>
    <n v="202.479996"/>
    <n v="184.320007"/>
    <n v="187.58000200000001"/>
    <n v="187.58000200000001"/>
    <n v="110996600"/>
  </r>
  <r>
    <x v="71"/>
    <n v="186.990005"/>
    <n v="194.490005"/>
    <n v="178.38000500000001"/>
    <n v="191.96000699999999"/>
    <n v="191.96000699999999"/>
    <n v="115103700"/>
  </r>
  <r>
    <x v="72"/>
    <n v="196.10000600000001"/>
    <n v="286.80999800000001"/>
    <n v="195.41999799999999"/>
    <n v="270.29998799999998"/>
    <n v="270.29998799999998"/>
    <n v="238377600"/>
  </r>
  <r>
    <x v="73"/>
    <n v="266.41000400000001"/>
    <n v="297.35998499999999"/>
    <n v="236.11000100000001"/>
    <n v="291.38000499999998"/>
    <n v="291.38000499999998"/>
    <n v="184585800"/>
  </r>
  <r>
    <x v="74"/>
    <n v="292.75"/>
    <n v="333.98001099999999"/>
    <n v="275.89999399999999"/>
    <n v="295.35000600000001"/>
    <n v="295.35000600000001"/>
    <n v="263449400"/>
  </r>
  <r>
    <x v="75"/>
    <n v="291.94000199999999"/>
    <n v="338.82000699999998"/>
    <n v="271.22000100000002"/>
    <n v="312.459991"/>
    <n v="312.459991"/>
    <n v="262006000"/>
  </r>
  <r>
    <x v="76"/>
    <n v="310.35998499999999"/>
    <n v="356.10000600000001"/>
    <n v="305.73001099999999"/>
    <n v="351.60000600000001"/>
    <n v="351.60000600000001"/>
    <n v="142050800"/>
  </r>
  <r>
    <x v="77"/>
    <n v="353.88000499999998"/>
    <n v="423.209991"/>
    <n v="352.82000699999998"/>
    <n v="391.42999300000002"/>
    <n v="391.42999300000002"/>
    <n v="244031800"/>
  </r>
  <r>
    <x v="78"/>
    <n v="385.45001200000002"/>
    <n v="419.76998900000001"/>
    <n v="328"/>
    <n v="337.45001200000002"/>
    <n v="337.45001200000002"/>
    <n v="305393800"/>
  </r>
  <r>
    <x v="79"/>
    <n v="335.86999500000002"/>
    <n v="376.80999800000001"/>
    <n v="310.92999300000002"/>
    <n v="367.67999300000002"/>
    <n v="367.67999300000002"/>
    <n v="213122300"/>
  </r>
  <r>
    <x v="80"/>
    <n v="366.47000100000002"/>
    <n v="383.20001200000002"/>
    <n v="335.82998700000002"/>
    <n v="374.13000499999998"/>
    <n v="374.13000499999998"/>
    <n v="170832100"/>
  </r>
  <r>
    <x v="81"/>
    <n v="375.85000600000001"/>
    <n v="386.79998799999998"/>
    <n v="271.209991"/>
    <n v="301.77999899999998"/>
    <n v="301.77999899999998"/>
    <n v="363589800"/>
  </r>
  <r>
    <x v="82"/>
    <n v="304.58999599999999"/>
    <n v="332.04998799999998"/>
    <n v="250"/>
    <n v="286.13000499999998"/>
    <n v="286.13000499999998"/>
    <n v="257126400"/>
  </r>
  <r>
    <x v="83"/>
    <n v="293.19000199999999"/>
    <n v="298.72000100000002"/>
    <n v="231.229996"/>
    <n v="267.66000400000001"/>
    <n v="267.66000400000001"/>
    <n v="234310000"/>
  </r>
  <r>
    <x v="84"/>
    <n v="259.27999899999998"/>
    <n v="358.85000600000001"/>
    <n v="256.57998700000002"/>
    <n v="339.5"/>
    <n v="339.5"/>
    <n v="306616400"/>
  </r>
  <r>
    <x v="85"/>
    <n v="337.17999300000002"/>
    <n v="371.48998999999998"/>
    <n v="336.5"/>
    <n v="358.10000600000001"/>
    <n v="358.10000600000001"/>
    <n v="148192100"/>
  </r>
  <r>
    <x v="86"/>
    <n v="362.26001000000002"/>
    <n v="379"/>
    <n v="342.47000100000002"/>
    <n v="356.55999800000001"/>
    <n v="356.55999800000001"/>
    <n v="144843100"/>
  </r>
  <r>
    <x v="87"/>
    <n v="359"/>
    <n v="384.79998799999998"/>
    <n v="342.26998900000001"/>
    <n v="370.540009"/>
    <n v="370.540009"/>
    <n v="165079400"/>
  </r>
  <r>
    <x v="88"/>
    <n v="374"/>
    <n v="385.98998999999998"/>
    <n v="341.39001500000001"/>
    <n v="343.27999899999998"/>
    <n v="343.27999899999998"/>
    <n v="125298300"/>
  </r>
  <r>
    <x v="89"/>
    <n v="343.55999800000001"/>
    <n v="375"/>
    <n v="332.64999399999999"/>
    <n v="367.32000699999998"/>
    <n v="367.32000699999998"/>
    <n v="111052000"/>
  </r>
  <r>
    <x v="90"/>
    <n v="373.5"/>
    <n v="384.76001000000002"/>
    <n v="305.80999800000001"/>
    <n v="322.98998999999998"/>
    <n v="322.98998999999998"/>
    <n v="196652500"/>
  </r>
  <r>
    <x v="91"/>
    <n v="324.25"/>
    <n v="328.57998700000002"/>
    <n v="287.20001200000002"/>
    <n v="293.75"/>
    <n v="293.75"/>
    <n v="137076700"/>
  </r>
  <r>
    <x v="92"/>
    <n v="290.82000699999998"/>
    <n v="301.54998799999998"/>
    <n v="252.279999"/>
    <n v="267.61999500000002"/>
    <n v="267.61999500000002"/>
    <n v="175411300"/>
  </r>
  <r>
    <x v="93"/>
    <n v="267.35000600000001"/>
    <n v="308.75"/>
    <n v="257.01001000000002"/>
    <n v="287.41000400000001"/>
    <n v="287.41000400000001"/>
    <n v="231556400"/>
  </r>
  <r>
    <x v="94"/>
    <n v="288.70001200000002"/>
    <n v="316.82000699999998"/>
    <n v="281.14001500000001"/>
    <n v="314.66000400000001"/>
    <n v="314.66000400000001"/>
    <n v="113645900"/>
  </r>
  <r>
    <x v="95"/>
    <n v="314.39001500000001"/>
    <n v="338"/>
    <n v="292.01998900000001"/>
    <n v="323.57000699999998"/>
    <n v="323.57000699999998"/>
    <n v="124723600"/>
  </r>
  <r>
    <x v="96"/>
    <n v="326.10000600000001"/>
    <n v="359.85000600000001"/>
    <n v="321.20001200000002"/>
    <n v="345.08999599999999"/>
    <n v="345.08999599999999"/>
    <n v="169874000"/>
  </r>
  <r>
    <x v="97"/>
    <n v="347.23998999999998"/>
    <n v="392.95001200000002"/>
    <n v="346.27999899999998"/>
    <n v="369.02999899999998"/>
    <n v="369.02999899999998"/>
    <n v="114056000"/>
  </r>
  <r>
    <x v="98"/>
    <n v="373.10998499999999"/>
    <n v="393.51998900000001"/>
    <n v="290.25"/>
    <n v="375.5"/>
    <n v="375.5"/>
    <n v="201979100"/>
  </r>
  <r>
    <x v="99"/>
    <n v="376.04998799999998"/>
    <n v="449.51998900000001"/>
    <n v="357.51001000000002"/>
    <n v="419.85000600000001"/>
    <n v="419.85000600000001"/>
    <n v="225111600"/>
  </r>
  <r>
    <x v="100"/>
    <n v="415.10000600000001"/>
    <n v="458.97000100000002"/>
    <n v="397.85998499999999"/>
    <n v="419.73001099999999"/>
    <n v="419.73001099999999"/>
    <n v="135055800"/>
  </r>
  <r>
    <x v="101"/>
    <n v="418.82998700000002"/>
    <n v="474.01001000000002"/>
    <n v="404.25"/>
    <n v="455.040009"/>
    <n v="455.040009"/>
    <n v="117279900"/>
  </r>
  <r>
    <x v="102"/>
    <n v="454"/>
    <n v="575.36999500000002"/>
    <n v="454"/>
    <n v="488.88000499999998"/>
    <n v="488.88000499999998"/>
    <n v="232206300"/>
  </r>
  <r>
    <x v="103"/>
    <n v="490.85998499999999"/>
    <n v="549.03997800000002"/>
    <n v="466.54998799999998"/>
    <n v="529.55999799999995"/>
    <n v="529.55999799999995"/>
    <n v="116261900"/>
  </r>
  <r>
    <x v="104"/>
    <n v="532.59997599999997"/>
    <n v="557.39001499999995"/>
    <n v="458.60000600000001"/>
    <n v="500.02999899999998"/>
    <n v="500.02999899999998"/>
    <n v="118796900"/>
  </r>
  <r>
    <x v="105"/>
    <n v="506.02999899999998"/>
    <n v="572.48999000000003"/>
    <n v="472.209991"/>
    <n v="475.73998999999998"/>
    <n v="475.73998999999998"/>
    <n v="154302400"/>
  </r>
  <r>
    <x v="106"/>
    <n v="478.86999500000002"/>
    <n v="518.72997999999995"/>
    <n v="463.41000400000001"/>
    <n v="490.70001200000002"/>
    <n v="490.70001200000002"/>
    <n v="91788900"/>
  </r>
  <r>
    <x v="107"/>
    <n v="492.33999599999999"/>
    <n v="545.5"/>
    <n v="491.290009"/>
    <n v="540.72997999999995"/>
    <n v="540.72997999999995"/>
    <n v="77564100"/>
  </r>
  <r>
    <x v="108"/>
    <n v="539"/>
    <n v="593.28997800000002"/>
    <n v="485.67001299999998"/>
    <n v="532.39001499999995"/>
    <n v="532.39001499999995"/>
    <n v="139988600"/>
  </r>
  <r>
    <x v="109"/>
    <n v="536.78997800000002"/>
    <n v="566.65002400000003"/>
    <n v="518.28002900000001"/>
    <n v="538.84997599999997"/>
    <n v="538.84997599999997"/>
    <n v="61902300"/>
  </r>
  <r>
    <x v="110"/>
    <n v="545.57000700000003"/>
    <n v="556.98999000000003"/>
    <n v="492.85000600000001"/>
    <n v="521.65997300000004"/>
    <n v="521.65997300000004"/>
    <n v="90183900"/>
  </r>
  <r>
    <x v="111"/>
    <n v="529.92999299999997"/>
    <n v="563.55999799999995"/>
    <n v="499"/>
    <n v="513.46997099999999"/>
    <n v="513.46997099999999"/>
    <n v="111573300"/>
  </r>
  <r>
    <x v="112"/>
    <n v="512.65002400000003"/>
    <n v="518.95001200000002"/>
    <n v="478.540009"/>
    <n v="502.80999800000001"/>
    <n v="502.80999800000001"/>
    <n v="66927600"/>
  </r>
  <r>
    <x v="113"/>
    <n v="504.01001000000002"/>
    <n v="536.13000499999998"/>
    <n v="482.14001500000001"/>
    <n v="528.21002199999998"/>
    <n v="528.21002199999998"/>
    <n v="78560600"/>
  </r>
  <r>
    <x v="114"/>
    <n v="525.71997099999999"/>
    <n v="557.53997800000002"/>
    <n v="504.66000400000001"/>
    <n v="517.57000700000003"/>
    <n v="517.57000700000003"/>
    <n v="77221200"/>
  </r>
  <r>
    <x v="115"/>
    <n v="519"/>
    <n v="569.47997999999995"/>
    <n v="505.36999500000002"/>
    <n v="569.19000200000005"/>
    <n v="569.19000200000005"/>
    <n v="54747700"/>
  </r>
  <r>
    <x v="116"/>
    <n v="569"/>
    <n v="619"/>
    <n v="568.080017"/>
    <n v="610.34002699999996"/>
    <n v="610.34002699999996"/>
    <n v="82317500"/>
  </r>
  <r>
    <x v="117"/>
    <n v="604.23999000000003"/>
    <n v="690.96997099999999"/>
    <n v="594.67999299999997"/>
    <n v="690.30999799999995"/>
    <n v="690.30999799999995"/>
    <n v="98576300"/>
  </r>
  <r>
    <x v="118"/>
    <n v="689.05999799999995"/>
    <n v="700.98999000000003"/>
    <n v="640.01000999999997"/>
    <n v="641.90002400000003"/>
    <n v="641.90002400000003"/>
    <n v="64530200"/>
  </r>
  <r>
    <x v="119"/>
    <n v="649.47997999999995"/>
    <n v="654.52002000000005"/>
    <n v="581.73999000000003"/>
    <n v="602.44000200000005"/>
    <n v="602.44000200000005"/>
    <n v="59975300"/>
  </r>
  <r>
    <x v="120"/>
    <n v="605.60998500000005"/>
    <n v="609.98999000000003"/>
    <n v="351.459991"/>
    <n v="427.14001500000001"/>
    <n v="427.14001500000001"/>
    <n v="241662000"/>
  </r>
  <r>
    <x v="121"/>
    <n v="432.959991"/>
    <n v="458.48001099999999"/>
    <n v="354.72000100000002"/>
    <n v="394.51998900000001"/>
    <n v="394.51998900000001"/>
    <n v="151010700"/>
  </r>
  <r>
    <x v="122"/>
    <n v="391.60000600000001"/>
    <n v="396.5"/>
    <n v="329.82000699999998"/>
    <n v="374.58999599999999"/>
    <n v="374.58999599999999"/>
    <n v="119491900"/>
  </r>
  <r>
    <x v="123"/>
    <n v="376.79998799999998"/>
    <n v="396.01998900000001"/>
    <n v="331.61999500000002"/>
    <n v="348.60998499999999"/>
    <n v="348.60998499999999"/>
    <n v="68654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28B5E4-1C33-4FDA-9483-BCD17B9B5B0C}"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N16" firstHeaderRow="1" firstDataRow="2" firstDataCol="1"/>
  <pivotFields count="9">
    <pivotField axis="axisCol" numFmtId="14"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showAll="0"/>
    <pivotField showAll="0">
      <items count="7">
        <item sd="0" x="0"/>
        <item sd="0" x="1"/>
        <item sd="0" x="2"/>
        <item sd="0" x="3"/>
        <item sd="0" x="4"/>
        <item sd="0" x="5"/>
        <item t="default"/>
      </items>
    </pivotField>
    <pivotField axis="axisRow" showAll="0">
      <items count="14">
        <item sd="0" x="0"/>
        <item x="1"/>
        <item x="2"/>
        <item x="3"/>
        <item x="4"/>
        <item x="5"/>
        <item x="6"/>
        <item x="7"/>
        <item x="8"/>
        <item x="9"/>
        <item x="10"/>
        <item x="11"/>
        <item sd="0" x="12"/>
        <item t="default"/>
      </items>
    </pivotField>
  </pivotFields>
  <rowFields count="1">
    <field x="8"/>
  </rowFields>
  <rowItems count="12">
    <i>
      <x v="1"/>
    </i>
    <i>
      <x v="2"/>
    </i>
    <i>
      <x v="3"/>
    </i>
    <i>
      <x v="4"/>
    </i>
    <i>
      <x v="5"/>
    </i>
    <i>
      <x v="6"/>
    </i>
    <i>
      <x v="7"/>
    </i>
    <i>
      <x v="8"/>
    </i>
    <i>
      <x v="9"/>
    </i>
    <i>
      <x v="10"/>
    </i>
    <i>
      <x v="11"/>
    </i>
    <i t="grand">
      <x/>
    </i>
  </rowItems>
  <colFields count="1">
    <field x="0"/>
  </colFields>
  <colItems count="13">
    <i>
      <x v="1"/>
    </i>
    <i>
      <x v="2"/>
    </i>
    <i>
      <x v="3"/>
    </i>
    <i>
      <x v="4"/>
    </i>
    <i>
      <x v="5"/>
    </i>
    <i>
      <x v="6"/>
    </i>
    <i>
      <x v="7"/>
    </i>
    <i>
      <x v="8"/>
    </i>
    <i>
      <x v="9"/>
    </i>
    <i>
      <x v="10"/>
    </i>
    <i>
      <x v="11"/>
    </i>
    <i>
      <x v="12"/>
    </i>
    <i t="grand">
      <x/>
    </i>
  </colItems>
  <dataFields count="1">
    <dataField name="Sum of Clos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O17"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dataField="1" showAll="0">
      <items count="5388">
        <item x="7"/>
        <item x="8"/>
        <item x="6"/>
        <item x="34"/>
        <item x="9"/>
        <item x="5"/>
        <item x="30"/>
        <item x="10"/>
        <item x="0"/>
        <item x="4"/>
        <item x="32"/>
        <item x="3"/>
        <item x="14"/>
        <item x="1"/>
        <item x="13"/>
        <item x="2"/>
        <item x="35"/>
        <item x="28"/>
        <item x="11"/>
        <item x="12"/>
        <item x="31"/>
        <item x="33"/>
        <item x="29"/>
        <item x="22"/>
        <item x="36"/>
        <item x="26"/>
        <item x="27"/>
        <item x="20"/>
        <item x="15"/>
        <item x="21"/>
        <item x="19"/>
        <item x="25"/>
        <item x="18"/>
        <item x="38"/>
        <item x="16"/>
        <item x="17"/>
        <item x="24"/>
        <item x="37"/>
        <item x="23"/>
        <item x="39"/>
        <item x="40"/>
        <item x="42"/>
        <item x="41"/>
        <item x="45"/>
        <item x="43"/>
        <item x="46"/>
        <item x="47"/>
        <item x="44"/>
        <item x="55"/>
        <item x="48"/>
        <item x="56"/>
        <item x="54"/>
        <item x="52"/>
        <item x="53"/>
        <item x="49"/>
        <item x="51"/>
        <item x="50"/>
        <item x="57"/>
        <item x="69"/>
        <item x="70"/>
        <item x="58"/>
        <item x="71"/>
        <item x="68"/>
        <item x="72"/>
        <item x="75"/>
        <item x="67"/>
        <item x="66"/>
        <item x="64"/>
        <item x="62"/>
        <item x="63"/>
        <item x="65"/>
        <item x="74"/>
        <item x="73"/>
        <item x="61"/>
        <item x="59"/>
        <item x="60"/>
        <item x="76"/>
        <item x="77"/>
        <item x="78"/>
        <item x="79"/>
        <item x="81"/>
        <item x="80"/>
        <item x="82"/>
        <item x="83"/>
        <item x="84"/>
        <item x="87"/>
        <item x="85"/>
        <item x="100"/>
        <item x="95"/>
        <item x="96"/>
        <item x="88"/>
        <item x="94"/>
        <item x="89"/>
        <item x="90"/>
        <item x="93"/>
        <item x="101"/>
        <item x="92"/>
        <item x="91"/>
        <item x="86"/>
        <item x="102"/>
        <item x="98"/>
        <item x="99"/>
        <item x="97"/>
        <item x="103"/>
        <item x="215"/>
        <item x="104"/>
        <item x="224"/>
        <item x="107"/>
        <item x="112"/>
        <item x="216"/>
        <item x="111"/>
        <item x="106"/>
        <item x="105"/>
        <item x="225"/>
        <item x="108"/>
        <item x="113"/>
        <item x="109"/>
        <item x="110"/>
        <item x="226"/>
        <item x="222"/>
        <item x="223"/>
        <item x="119"/>
        <item x="114"/>
        <item x="117"/>
        <item x="118"/>
        <item x="116"/>
        <item x="212"/>
        <item x="122"/>
        <item x="115"/>
        <item x="120"/>
        <item x="221"/>
        <item x="128"/>
        <item x="278"/>
        <item x="276"/>
        <item x="172"/>
        <item x="220"/>
        <item x="177"/>
        <item x="126"/>
        <item x="275"/>
        <item x="279"/>
        <item x="123"/>
        <item x="277"/>
        <item x="217"/>
        <item x="127"/>
        <item x="131"/>
        <item x="129"/>
        <item x="289"/>
        <item x="214"/>
        <item x="121"/>
        <item x="173"/>
        <item x="132"/>
        <item x="160"/>
        <item x="176"/>
        <item x="219"/>
        <item x="161"/>
        <item x="130"/>
        <item x="273"/>
        <item x="133"/>
        <item x="125"/>
        <item x="175"/>
        <item x="124"/>
        <item x="171"/>
        <item x="162"/>
        <item x="218"/>
        <item x="288"/>
        <item x="178"/>
        <item x="274"/>
        <item x="179"/>
        <item x="169"/>
        <item x="174"/>
        <item x="170"/>
        <item x="166"/>
        <item x="180"/>
        <item x="135"/>
        <item x="159"/>
        <item x="163"/>
        <item x="136"/>
        <item x="168"/>
        <item x="165"/>
        <item x="167"/>
        <item x="164"/>
        <item x="137"/>
        <item x="181"/>
        <item x="235"/>
        <item x="251"/>
        <item x="134"/>
        <item x="213"/>
        <item x="281"/>
        <item x="138"/>
        <item x="280"/>
        <item x="236"/>
        <item x="233"/>
        <item x="231"/>
        <item x="152"/>
        <item x="227"/>
        <item x="252"/>
        <item x="158"/>
        <item x="156"/>
        <item x="150"/>
        <item x="157"/>
        <item x="232"/>
        <item x="253"/>
        <item x="234"/>
        <item x="255"/>
        <item x="254"/>
        <item x="149"/>
        <item x="151"/>
        <item x="182"/>
        <item x="188"/>
        <item x="249"/>
        <item x="154"/>
        <item x="189"/>
        <item x="140"/>
        <item x="155"/>
        <item x="186"/>
        <item x="250"/>
        <item x="228"/>
        <item x="256"/>
        <item x="190"/>
        <item x="183"/>
        <item x="187"/>
        <item x="148"/>
        <item x="184"/>
        <item x="139"/>
        <item x="193"/>
        <item x="153"/>
        <item x="240"/>
        <item x="192"/>
        <item x="229"/>
        <item x="237"/>
        <item x="290"/>
        <item x="191"/>
        <item x="241"/>
        <item x="141"/>
        <item x="257"/>
        <item x="144"/>
        <item x="238"/>
        <item x="147"/>
        <item x="287"/>
        <item x="239"/>
        <item x="285"/>
        <item x="185"/>
        <item x="194"/>
        <item x="286"/>
        <item x="230"/>
        <item x="243"/>
        <item x="145"/>
        <item x="242"/>
        <item x="195"/>
        <item x="146"/>
        <item x="143"/>
        <item x="258"/>
        <item x="284"/>
        <item x="196"/>
        <item x="282"/>
        <item x="259"/>
        <item x="260"/>
        <item x="247"/>
        <item x="244"/>
        <item x="246"/>
        <item x="261"/>
        <item x="142"/>
        <item x="262"/>
        <item x="248"/>
        <item x="283"/>
        <item x="245"/>
        <item x="197"/>
        <item x="198"/>
        <item x="211"/>
        <item x="291"/>
        <item x="265"/>
        <item x="292"/>
        <item x="271"/>
        <item x="266"/>
        <item x="264"/>
        <item x="199"/>
        <item x="294"/>
        <item x="270"/>
        <item x="263"/>
        <item x="293"/>
        <item x="272"/>
        <item x="267"/>
        <item x="200"/>
        <item x="269"/>
        <item x="295"/>
        <item x="268"/>
        <item x="210"/>
        <item x="209"/>
        <item x="207"/>
        <item x="206"/>
        <item x="205"/>
        <item x="201"/>
        <item x="204"/>
        <item x="208"/>
        <item x="303"/>
        <item x="203"/>
        <item x="296"/>
        <item x="304"/>
        <item x="315"/>
        <item x="312"/>
        <item x="317"/>
        <item x="311"/>
        <item x="337"/>
        <item x="316"/>
        <item x="302"/>
        <item x="305"/>
        <item x="202"/>
        <item x="297"/>
        <item x="313"/>
        <item x="298"/>
        <item x="301"/>
        <item x="338"/>
        <item x="306"/>
        <item x="310"/>
        <item x="318"/>
        <item x="300"/>
        <item x="299"/>
        <item x="314"/>
        <item x="336"/>
        <item x="339"/>
        <item x="335"/>
        <item x="309"/>
        <item x="319"/>
        <item x="340"/>
        <item x="320"/>
        <item x="307"/>
        <item x="321"/>
        <item x="334"/>
        <item x="332"/>
        <item x="308"/>
        <item x="331"/>
        <item x="341"/>
        <item x="348"/>
        <item x="333"/>
        <item x="323"/>
        <item x="329"/>
        <item x="326"/>
        <item x="330"/>
        <item x="325"/>
        <item x="328"/>
        <item x="322"/>
        <item x="327"/>
        <item x="324"/>
        <item x="342"/>
        <item x="343"/>
        <item x="345"/>
        <item x="351"/>
        <item x="347"/>
        <item x="346"/>
        <item x="353"/>
        <item x="352"/>
        <item x="344"/>
        <item x="354"/>
        <item x="358"/>
        <item x="355"/>
        <item x="357"/>
        <item x="350"/>
        <item x="356"/>
        <item x="359"/>
        <item x="360"/>
        <item x="349"/>
        <item x="364"/>
        <item x="365"/>
        <item x="361"/>
        <item x="366"/>
        <item x="362"/>
        <item x="368"/>
        <item x="367"/>
        <item x="369"/>
        <item x="363"/>
        <item x="373"/>
        <item x="455"/>
        <item x="370"/>
        <item x="372"/>
        <item x="371"/>
        <item x="374"/>
        <item x="375"/>
        <item x="454"/>
        <item x="377"/>
        <item x="376"/>
        <item x="453"/>
        <item x="467"/>
        <item x="384"/>
        <item x="387"/>
        <item x="388"/>
        <item x="378"/>
        <item x="383"/>
        <item x="385"/>
        <item x="386"/>
        <item x="381"/>
        <item x="382"/>
        <item x="379"/>
        <item x="392"/>
        <item x="391"/>
        <item x="401"/>
        <item x="460"/>
        <item x="461"/>
        <item x="389"/>
        <item x="380"/>
        <item x="390"/>
        <item x="393"/>
        <item x="400"/>
        <item x="399"/>
        <item x="462"/>
        <item x="457"/>
        <item x="452"/>
        <item x="395"/>
        <item x="394"/>
        <item x="398"/>
        <item x="396"/>
        <item x="468"/>
        <item x="447"/>
        <item x="458"/>
        <item x="402"/>
        <item x="397"/>
        <item x="459"/>
        <item x="471"/>
        <item x="404"/>
        <item x="456"/>
        <item x="463"/>
        <item x="446"/>
        <item x="470"/>
        <item x="448"/>
        <item x="473"/>
        <item x="472"/>
        <item x="403"/>
        <item x="466"/>
        <item x="451"/>
        <item x="405"/>
        <item x="408"/>
        <item x="450"/>
        <item x="449"/>
        <item x="469"/>
        <item x="406"/>
        <item x="474"/>
        <item x="407"/>
        <item x="465"/>
        <item x="445"/>
        <item x="443"/>
        <item x="444"/>
        <item x="464"/>
        <item x="477"/>
        <item x="442"/>
        <item x="409"/>
        <item x="476"/>
        <item x="440"/>
        <item x="475"/>
        <item x="441"/>
        <item x="439"/>
        <item x="410"/>
        <item x="479"/>
        <item x="480"/>
        <item x="411"/>
        <item x="478"/>
        <item x="420"/>
        <item x="483"/>
        <item x="432"/>
        <item x="484"/>
        <item x="485"/>
        <item x="417"/>
        <item x="433"/>
        <item x="419"/>
        <item x="421"/>
        <item x="486"/>
        <item x="431"/>
        <item x="481"/>
        <item x="482"/>
        <item x="414"/>
        <item x="428"/>
        <item x="429"/>
        <item x="422"/>
        <item x="424"/>
        <item x="418"/>
        <item x="415"/>
        <item x="416"/>
        <item x="427"/>
        <item x="412"/>
        <item x="423"/>
        <item x="430"/>
        <item x="413"/>
        <item x="438"/>
        <item x="426"/>
        <item x="434"/>
        <item x="425"/>
        <item x="437"/>
        <item x="488"/>
        <item x="487"/>
        <item x="435"/>
        <item x="436"/>
        <item x="489"/>
        <item x="490"/>
        <item x="491"/>
        <item x="493"/>
        <item x="494"/>
        <item x="492"/>
        <item x="495"/>
        <item x="496"/>
        <item x="497"/>
        <item x="560"/>
        <item x="527"/>
        <item x="526"/>
        <item x="521"/>
        <item x="559"/>
        <item x="498"/>
        <item x="524"/>
        <item x="542"/>
        <item x="562"/>
        <item x="523"/>
        <item x="499"/>
        <item x="528"/>
        <item x="556"/>
        <item x="525"/>
        <item x="501"/>
        <item x="520"/>
        <item x="544"/>
        <item x="500"/>
        <item x="512"/>
        <item x="522"/>
        <item x="509"/>
        <item x="502"/>
        <item x="541"/>
        <item x="514"/>
        <item x="561"/>
        <item x="545"/>
        <item x="540"/>
        <item x="557"/>
        <item x="513"/>
        <item x="510"/>
        <item x="511"/>
        <item x="504"/>
        <item x="543"/>
        <item x="507"/>
        <item x="555"/>
        <item x="516"/>
        <item x="505"/>
        <item x="506"/>
        <item x="563"/>
        <item x="529"/>
        <item x="515"/>
        <item x="565"/>
        <item x="508"/>
        <item x="503"/>
        <item x="531"/>
        <item x="564"/>
        <item x="532"/>
        <item x="517"/>
        <item x="558"/>
        <item x="519"/>
        <item x="538"/>
        <item x="530"/>
        <item x="568"/>
        <item x="566"/>
        <item x="546"/>
        <item x="548"/>
        <item x="567"/>
        <item x="535"/>
        <item x="537"/>
        <item x="552"/>
        <item x="553"/>
        <item x="547"/>
        <item x="539"/>
        <item x="551"/>
        <item x="536"/>
        <item x="518"/>
        <item x="569"/>
        <item x="549"/>
        <item x="533"/>
        <item x="550"/>
        <item x="554"/>
        <item x="534"/>
        <item x="570"/>
        <item x="571"/>
        <item x="586"/>
        <item x="577"/>
        <item x="578"/>
        <item x="572"/>
        <item x="575"/>
        <item x="576"/>
        <item x="587"/>
        <item x="574"/>
        <item x="585"/>
        <item x="573"/>
        <item x="584"/>
        <item x="579"/>
        <item x="588"/>
        <item x="581"/>
        <item x="591"/>
        <item x="580"/>
        <item x="582"/>
        <item x="583"/>
        <item x="589"/>
        <item x="590"/>
        <item x="598"/>
        <item x="599"/>
        <item x="593"/>
        <item x="592"/>
        <item x="600"/>
        <item x="595"/>
        <item x="601"/>
        <item x="597"/>
        <item x="596"/>
        <item x="594"/>
        <item x="602"/>
        <item x="604"/>
        <item x="603"/>
        <item x="608"/>
        <item x="610"/>
        <item x="607"/>
        <item x="609"/>
        <item x="606"/>
        <item x="605"/>
        <item x="613"/>
        <item x="614"/>
        <item x="612"/>
        <item x="611"/>
        <item x="616"/>
        <item x="621"/>
        <item x="615"/>
        <item x="626"/>
        <item x="625"/>
        <item x="623"/>
        <item x="624"/>
        <item x="622"/>
        <item x="617"/>
        <item x="620"/>
        <item x="618"/>
        <item x="719"/>
        <item x="632"/>
        <item x="619"/>
        <item x="627"/>
        <item x="628"/>
        <item x="630"/>
        <item x="634"/>
        <item x="629"/>
        <item x="633"/>
        <item x="636"/>
        <item x="635"/>
        <item x="722"/>
        <item x="637"/>
        <item x="723"/>
        <item x="727"/>
        <item x="631"/>
        <item x="739"/>
        <item x="721"/>
        <item x="718"/>
        <item x="726"/>
        <item x="738"/>
        <item x="735"/>
        <item x="639"/>
        <item x="736"/>
        <item x="729"/>
        <item x="724"/>
        <item x="638"/>
        <item x="737"/>
        <item x="725"/>
        <item x="740"/>
        <item x="728"/>
        <item x="847"/>
        <item x="640"/>
        <item x="713"/>
        <item x="720"/>
        <item x="717"/>
        <item x="716"/>
        <item x="848"/>
        <item x="699"/>
        <item x="715"/>
        <item x="730"/>
        <item x="732"/>
        <item x="842"/>
        <item x="706"/>
        <item x="701"/>
        <item x="641"/>
        <item x="741"/>
        <item x="733"/>
        <item x="642"/>
        <item x="734"/>
        <item x="731"/>
        <item x="643"/>
        <item x="700"/>
        <item x="742"/>
        <item x="743"/>
        <item x="841"/>
        <item x="697"/>
        <item x="712"/>
        <item x="849"/>
        <item x="705"/>
        <item x="843"/>
        <item x="645"/>
        <item x="744"/>
        <item x="698"/>
        <item x="852"/>
        <item x="714"/>
        <item x="702"/>
        <item x="846"/>
        <item x="644"/>
        <item x="704"/>
        <item x="845"/>
        <item x="672"/>
        <item x="850"/>
        <item x="851"/>
        <item x="673"/>
        <item x="745"/>
        <item x="703"/>
        <item x="670"/>
        <item x="709"/>
        <item x="674"/>
        <item x="844"/>
        <item x="690"/>
        <item x="862"/>
        <item x="695"/>
        <item x="839"/>
        <item x="646"/>
        <item x="708"/>
        <item x="707"/>
        <item x="689"/>
        <item x="746"/>
        <item x="691"/>
        <item x="840"/>
        <item x="671"/>
        <item x="696"/>
        <item x="860"/>
        <item x="867"/>
        <item x="694"/>
        <item x="669"/>
        <item x="668"/>
        <item x="751"/>
        <item x="680"/>
        <item x="866"/>
        <item x="810"/>
        <item x="657"/>
        <item x="753"/>
        <item x="809"/>
        <item x="750"/>
        <item x="647"/>
        <item x="807"/>
        <item x="665"/>
        <item x="752"/>
        <item x="688"/>
        <item x="748"/>
        <item x="661"/>
        <item x="662"/>
        <item x="864"/>
        <item x="683"/>
        <item x="682"/>
        <item x="679"/>
        <item x="859"/>
        <item x="858"/>
        <item x="749"/>
        <item x="681"/>
        <item x="747"/>
        <item x="675"/>
        <item x="827"/>
        <item x="812"/>
        <item x="808"/>
        <item x="656"/>
        <item x="711"/>
        <item x="861"/>
        <item x="710"/>
        <item x="677"/>
        <item x="857"/>
        <item x="678"/>
        <item x="853"/>
        <item x="664"/>
        <item x="756"/>
        <item x="754"/>
        <item x="855"/>
        <item x="815"/>
        <item x="648"/>
        <item x="863"/>
        <item x="663"/>
        <item x="660"/>
        <item x="817"/>
        <item x="676"/>
        <item x="659"/>
        <item x="755"/>
        <item x="650"/>
        <item x="806"/>
        <item x="658"/>
        <item x="814"/>
        <item x="667"/>
        <item x="757"/>
        <item x="854"/>
        <item x="856"/>
        <item x="666"/>
        <item x="685"/>
        <item x="655"/>
        <item x="811"/>
        <item x="758"/>
        <item x="813"/>
        <item x="651"/>
        <item x="649"/>
        <item x="826"/>
        <item x="686"/>
        <item x="693"/>
        <item x="796"/>
        <item x="654"/>
        <item x="805"/>
        <item x="684"/>
        <item x="759"/>
        <item x="652"/>
        <item x="865"/>
        <item x="687"/>
        <item x="804"/>
        <item x="795"/>
        <item x="692"/>
        <item x="828"/>
        <item x="829"/>
        <item x="803"/>
        <item x="787"/>
        <item x="794"/>
        <item x="819"/>
        <item x="825"/>
        <item x="789"/>
        <item x="788"/>
        <item x="792"/>
        <item x="818"/>
        <item x="793"/>
        <item x="816"/>
        <item x="653"/>
        <item x="791"/>
        <item x="760"/>
        <item x="764"/>
        <item x="868"/>
        <item x="768"/>
        <item x="800"/>
        <item x="765"/>
        <item x="763"/>
        <item x="766"/>
        <item x="824"/>
        <item x="786"/>
        <item x="797"/>
        <item x="799"/>
        <item x="802"/>
        <item x="801"/>
        <item x="767"/>
        <item x="762"/>
        <item x="761"/>
        <item x="823"/>
        <item x="822"/>
        <item x="790"/>
        <item x="782"/>
        <item x="838"/>
        <item x="820"/>
        <item x="779"/>
        <item x="798"/>
        <item x="778"/>
        <item x="783"/>
        <item x="780"/>
        <item x="769"/>
        <item x="775"/>
        <item x="831"/>
        <item x="837"/>
        <item x="785"/>
        <item x="833"/>
        <item x="770"/>
        <item x="771"/>
        <item x="821"/>
        <item x="781"/>
        <item x="774"/>
        <item x="784"/>
        <item x="773"/>
        <item x="772"/>
        <item x="776"/>
        <item x="830"/>
        <item x="872"/>
        <item x="873"/>
        <item x="836"/>
        <item x="869"/>
        <item x="777"/>
        <item x="871"/>
        <item x="832"/>
        <item x="870"/>
        <item x="835"/>
        <item x="906"/>
        <item x="834"/>
        <item x="874"/>
        <item x="903"/>
        <item x="905"/>
        <item x="875"/>
        <item x="908"/>
        <item x="907"/>
        <item x="877"/>
        <item x="902"/>
        <item x="876"/>
        <item x="896"/>
        <item x="895"/>
        <item x="901"/>
        <item x="904"/>
        <item x="909"/>
        <item x="878"/>
        <item x="879"/>
        <item x="910"/>
        <item x="898"/>
        <item x="899"/>
        <item x="894"/>
        <item x="900"/>
        <item x="897"/>
        <item x="881"/>
        <item x="885"/>
        <item x="882"/>
        <item x="880"/>
        <item x="889"/>
        <item x="893"/>
        <item x="913"/>
        <item x="912"/>
        <item x="886"/>
        <item x="884"/>
        <item x="911"/>
        <item x="892"/>
        <item x="890"/>
        <item x="888"/>
        <item x="883"/>
        <item x="914"/>
        <item x="891"/>
        <item x="938"/>
        <item x="916"/>
        <item x="887"/>
        <item x="920"/>
        <item x="939"/>
        <item x="917"/>
        <item x="937"/>
        <item x="943"/>
        <item x="915"/>
        <item x="919"/>
        <item x="935"/>
        <item x="921"/>
        <item x="940"/>
        <item x="918"/>
        <item x="942"/>
        <item x="928"/>
        <item x="927"/>
        <item x="922"/>
        <item x="941"/>
        <item x="936"/>
        <item x="944"/>
        <item x="923"/>
        <item x="934"/>
        <item x="924"/>
        <item x="933"/>
        <item x="930"/>
        <item x="931"/>
        <item x="929"/>
        <item x="926"/>
        <item x="932"/>
        <item x="925"/>
        <item x="947"/>
        <item x="989"/>
        <item x="990"/>
        <item x="946"/>
        <item x="945"/>
        <item x="948"/>
        <item x="993"/>
        <item x="975"/>
        <item x="991"/>
        <item x="981"/>
        <item x="982"/>
        <item x="992"/>
        <item x="976"/>
        <item x="978"/>
        <item x="977"/>
        <item x="949"/>
        <item x="980"/>
        <item x="984"/>
        <item x="983"/>
        <item x="955"/>
        <item x="950"/>
        <item x="988"/>
        <item x="979"/>
        <item x="956"/>
        <item x="967"/>
        <item x="987"/>
        <item x="951"/>
        <item x="960"/>
        <item x="973"/>
        <item x="970"/>
        <item x="954"/>
        <item x="953"/>
        <item x="986"/>
        <item x="969"/>
        <item x="952"/>
        <item x="974"/>
        <item x="971"/>
        <item x="972"/>
        <item x="968"/>
        <item x="966"/>
        <item x="957"/>
        <item x="959"/>
        <item x="958"/>
        <item x="965"/>
        <item x="964"/>
        <item x="994"/>
        <item x="961"/>
        <item x="962"/>
        <item x="963"/>
        <item x="985"/>
        <item x="995"/>
        <item x="997"/>
        <item x="996"/>
        <item x="998"/>
        <item x="999"/>
        <item x="1016"/>
        <item x="1014"/>
        <item x="1003"/>
        <item x="1013"/>
        <item x="1002"/>
        <item x="1005"/>
        <item x="1001"/>
        <item x="1015"/>
        <item x="1006"/>
        <item x="1004"/>
        <item x="1017"/>
        <item x="1000"/>
        <item x="1012"/>
        <item x="1011"/>
        <item x="1018"/>
        <item x="1007"/>
        <item x="1009"/>
        <item x="1010"/>
        <item x="1008"/>
        <item x="1023"/>
        <item x="1022"/>
        <item x="1021"/>
        <item x="1020"/>
        <item x="1019"/>
        <item x="1024"/>
        <item x="1027"/>
        <item x="1035"/>
        <item x="1030"/>
        <item x="1026"/>
        <item x="1034"/>
        <item x="1033"/>
        <item x="1025"/>
        <item x="1147"/>
        <item x="1037"/>
        <item x="1031"/>
        <item x="1038"/>
        <item x="1036"/>
        <item x="1032"/>
        <item x="1028"/>
        <item x="1029"/>
        <item x="1148"/>
        <item x="1150"/>
        <item x="1047"/>
        <item x="1050"/>
        <item x="1053"/>
        <item x="1055"/>
        <item x="1054"/>
        <item x="1052"/>
        <item x="1049"/>
        <item x="1041"/>
        <item x="1048"/>
        <item x="1051"/>
        <item x="1039"/>
        <item x="1042"/>
        <item x="1149"/>
        <item x="1116"/>
        <item x="1040"/>
        <item x="1115"/>
        <item x="1119"/>
        <item x="1146"/>
        <item x="1117"/>
        <item x="1120"/>
        <item x="1063"/>
        <item x="1056"/>
        <item x="1138"/>
        <item x="1043"/>
        <item x="1136"/>
        <item x="1045"/>
        <item x="1118"/>
        <item x="1145"/>
        <item x="1064"/>
        <item x="1137"/>
        <item x="1111"/>
        <item x="1141"/>
        <item x="1044"/>
        <item x="1112"/>
        <item x="1140"/>
        <item x="1114"/>
        <item x="1086"/>
        <item x="1046"/>
        <item x="1065"/>
        <item x="1085"/>
        <item x="1062"/>
        <item x="1057"/>
        <item x="1135"/>
        <item x="1143"/>
        <item x="1097"/>
        <item x="1110"/>
        <item x="1144"/>
        <item x="1066"/>
        <item x="1059"/>
        <item x="1109"/>
        <item x="1068"/>
        <item x="1152"/>
        <item x="1142"/>
        <item x="1067"/>
        <item x="1061"/>
        <item x="1151"/>
        <item x="1058"/>
        <item x="1113"/>
        <item x="1139"/>
        <item x="1060"/>
        <item x="1080"/>
        <item x="1099"/>
        <item x="1084"/>
        <item x="1069"/>
        <item x="1129"/>
        <item x="1108"/>
        <item x="1098"/>
        <item x="1107"/>
        <item x="1106"/>
        <item x="1088"/>
        <item x="1081"/>
        <item x="1087"/>
        <item x="1134"/>
        <item x="1089"/>
        <item x="1096"/>
        <item x="1078"/>
        <item x="1101"/>
        <item x="1105"/>
        <item x="1100"/>
        <item x="1163"/>
        <item x="1130"/>
        <item x="1102"/>
        <item x="1070"/>
        <item x="1164"/>
        <item x="1123"/>
        <item x="1083"/>
        <item x="1079"/>
        <item x="1104"/>
        <item x="1133"/>
        <item x="1082"/>
        <item x="1072"/>
        <item x="1121"/>
        <item x="1132"/>
        <item x="1161"/>
        <item x="1093"/>
        <item x="1162"/>
        <item x="1128"/>
        <item x="1122"/>
        <item x="1103"/>
        <item x="1155"/>
        <item x="1095"/>
        <item x="1124"/>
        <item x="1160"/>
        <item x="1091"/>
        <item x="1154"/>
        <item x="1159"/>
        <item x="1090"/>
        <item x="1071"/>
        <item x="1131"/>
        <item x="1092"/>
        <item x="1094"/>
        <item x="1127"/>
        <item x="1153"/>
        <item x="1073"/>
        <item x="1125"/>
        <item x="1074"/>
        <item x="1158"/>
        <item x="1170"/>
        <item x="1165"/>
        <item x="1171"/>
        <item x="1177"/>
        <item x="1077"/>
        <item x="1172"/>
        <item x="1166"/>
        <item x="1156"/>
        <item x="1126"/>
        <item x="1173"/>
        <item x="1157"/>
        <item x="1178"/>
        <item x="1075"/>
        <item x="1176"/>
        <item x="1175"/>
        <item x="1174"/>
        <item x="1169"/>
        <item x="1167"/>
        <item x="1179"/>
        <item x="1168"/>
        <item x="1076"/>
        <item x="1180"/>
        <item x="1230"/>
        <item x="1188"/>
        <item x="1183"/>
        <item x="1187"/>
        <item x="1189"/>
        <item x="1235"/>
        <item x="1229"/>
        <item x="1182"/>
        <item x="1181"/>
        <item x="1190"/>
        <item x="1185"/>
        <item x="1184"/>
        <item x="1191"/>
        <item x="1228"/>
        <item x="1236"/>
        <item x="1192"/>
        <item x="1186"/>
        <item x="1231"/>
        <item x="1198"/>
        <item x="1199"/>
        <item x="1197"/>
        <item x="1196"/>
        <item x="1201"/>
        <item x="1195"/>
        <item x="1205"/>
        <item x="1202"/>
        <item x="1204"/>
        <item x="1200"/>
        <item x="1193"/>
        <item x="1203"/>
        <item x="1194"/>
        <item x="1237"/>
        <item x="1227"/>
        <item x="1234"/>
        <item x="1207"/>
        <item x="1232"/>
        <item x="1220"/>
        <item x="1226"/>
        <item x="1221"/>
        <item x="1225"/>
        <item x="1219"/>
        <item x="1209"/>
        <item x="1206"/>
        <item x="1233"/>
        <item x="1224"/>
        <item x="1208"/>
        <item x="1251"/>
        <item x="1223"/>
        <item x="1215"/>
        <item x="1218"/>
        <item x="1210"/>
        <item x="1222"/>
        <item x="1214"/>
        <item x="1250"/>
        <item x="1248"/>
        <item x="1213"/>
        <item x="1247"/>
        <item x="1238"/>
        <item x="1243"/>
        <item x="1216"/>
        <item x="1239"/>
        <item x="1217"/>
        <item x="1246"/>
        <item x="1252"/>
        <item x="1242"/>
        <item x="1212"/>
        <item x="1240"/>
        <item x="1244"/>
        <item x="1211"/>
        <item x="1245"/>
        <item x="1241"/>
        <item x="1249"/>
        <item x="1253"/>
        <item x="1254"/>
        <item x="1255"/>
        <item x="1264"/>
        <item x="1262"/>
        <item x="1265"/>
        <item x="1278"/>
        <item x="1272"/>
        <item x="1256"/>
        <item x="1267"/>
        <item x="1263"/>
        <item x="1271"/>
        <item x="1266"/>
        <item x="1270"/>
        <item x="1277"/>
        <item x="1261"/>
        <item x="1280"/>
        <item x="1268"/>
        <item x="1279"/>
        <item x="1257"/>
        <item x="1274"/>
        <item x="1260"/>
        <item x="1273"/>
        <item x="1281"/>
        <item x="1282"/>
        <item x="1269"/>
        <item x="1258"/>
        <item x="1276"/>
        <item x="1259"/>
        <item x="1275"/>
        <item x="1283"/>
        <item x="1287"/>
        <item x="1285"/>
        <item x="1286"/>
        <item x="1284"/>
        <item x="1288"/>
        <item x="1290"/>
        <item x="1289"/>
        <item x="1291"/>
        <item x="1294"/>
        <item x="1302"/>
        <item x="1301"/>
        <item x="1293"/>
        <item x="1295"/>
        <item x="1296"/>
        <item x="1300"/>
        <item x="1297"/>
        <item x="1292"/>
        <item x="1298"/>
        <item x="1299"/>
        <item x="1308"/>
        <item x="1307"/>
        <item x="1306"/>
        <item x="1316"/>
        <item x="1303"/>
        <item x="1304"/>
        <item x="1320"/>
        <item x="1309"/>
        <item x="1305"/>
        <item x="1315"/>
        <item x="1311"/>
        <item x="1312"/>
        <item x="1314"/>
        <item x="1318"/>
        <item x="1317"/>
        <item x="1310"/>
        <item x="1319"/>
        <item x="1321"/>
        <item x="1313"/>
        <item x="1322"/>
        <item x="1323"/>
        <item x="1358"/>
        <item x="1359"/>
        <item x="1324"/>
        <item x="1362"/>
        <item x="1364"/>
        <item x="1363"/>
        <item x="1361"/>
        <item x="1357"/>
        <item x="1366"/>
        <item x="1360"/>
        <item x="1327"/>
        <item x="1325"/>
        <item x="1365"/>
        <item x="1345"/>
        <item x="1330"/>
        <item x="1367"/>
        <item x="1328"/>
        <item x="1356"/>
        <item x="1329"/>
        <item x="1351"/>
        <item x="1337"/>
        <item x="1331"/>
        <item x="1326"/>
        <item x="1344"/>
        <item x="1339"/>
        <item x="1343"/>
        <item x="1369"/>
        <item x="1370"/>
        <item x="1368"/>
        <item x="1336"/>
        <item x="1340"/>
        <item x="1352"/>
        <item x="1354"/>
        <item x="1349"/>
        <item x="1347"/>
        <item x="1353"/>
        <item x="1341"/>
        <item x="1342"/>
        <item x="1346"/>
        <item x="1348"/>
        <item x="1338"/>
        <item x="1355"/>
        <item x="1350"/>
        <item x="1332"/>
        <item x="1333"/>
        <item x="1334"/>
        <item x="1335"/>
        <item x="1371"/>
        <item x="1372"/>
        <item x="1375"/>
        <item x="1374"/>
        <item x="1376"/>
        <item x="1373"/>
        <item x="1390"/>
        <item x="1383"/>
        <item x="1388"/>
        <item x="1384"/>
        <item x="1385"/>
        <item x="1389"/>
        <item x="1382"/>
        <item x="1387"/>
        <item x="1386"/>
        <item x="1515"/>
        <item x="1377"/>
        <item x="1391"/>
        <item x="1399"/>
        <item x="1381"/>
        <item x="1392"/>
        <item x="1400"/>
        <item x="1393"/>
        <item x="1380"/>
        <item x="1379"/>
        <item x="3217"/>
        <item x="1378"/>
        <item x="3215"/>
        <item x="3216"/>
        <item x="1394"/>
        <item x="1514"/>
        <item x="1397"/>
        <item x="1401"/>
        <item x="1398"/>
        <item x="1403"/>
        <item x="1417"/>
        <item x="1402"/>
        <item x="1396"/>
        <item x="1516"/>
        <item x="3212"/>
        <item x="1416"/>
        <item x="1395"/>
        <item x="1404"/>
        <item x="3213"/>
        <item x="1415"/>
        <item x="1411"/>
        <item x="1414"/>
        <item x="1418"/>
        <item x="1491"/>
        <item x="1513"/>
        <item x="1489"/>
        <item x="3214"/>
        <item x="1498"/>
        <item x="3211"/>
        <item x="1518"/>
        <item x="1409"/>
        <item x="1420"/>
        <item x="1419"/>
        <item x="1405"/>
        <item x="1423"/>
        <item x="1410"/>
        <item x="1492"/>
        <item x="1408"/>
        <item x="1517"/>
        <item x="1520"/>
        <item x="1413"/>
        <item x="1521"/>
        <item x="1497"/>
        <item x="1466"/>
        <item x="1422"/>
        <item x="1490"/>
        <item x="1519"/>
        <item x="1421"/>
        <item x="3210"/>
        <item x="1406"/>
        <item x="1496"/>
        <item x="3218"/>
        <item x="1412"/>
        <item x="1522"/>
        <item x="1456"/>
        <item x="1469"/>
        <item x="1477"/>
        <item x="1473"/>
        <item x="1485"/>
        <item x="1474"/>
        <item x="1447"/>
        <item x="1468"/>
        <item x="3220"/>
        <item x="1471"/>
        <item x="1475"/>
        <item x="1495"/>
        <item x="1448"/>
        <item x="1484"/>
        <item x="1500"/>
        <item x="1493"/>
        <item x="1407"/>
        <item x="1494"/>
        <item x="1476"/>
        <item x="1455"/>
        <item x="1499"/>
        <item x="1478"/>
        <item x="1454"/>
        <item x="1501"/>
        <item x="1463"/>
        <item x="1470"/>
        <item x="3221"/>
        <item x="1523"/>
        <item x="1488"/>
        <item x="1472"/>
        <item x="1487"/>
        <item x="3209"/>
        <item x="1486"/>
        <item x="1483"/>
        <item x="1424"/>
        <item x="1444"/>
        <item x="1445"/>
        <item x="3219"/>
        <item x="1512"/>
        <item x="1446"/>
        <item x="1467"/>
        <item x="3223"/>
        <item x="1453"/>
        <item x="1458"/>
        <item x="1482"/>
        <item x="1481"/>
        <item x="3196"/>
        <item x="1464"/>
        <item x="1502"/>
        <item x="3190"/>
        <item x="1433"/>
        <item x="3222"/>
        <item x="1457"/>
        <item x="1452"/>
        <item x="1460"/>
        <item x="3208"/>
        <item x="3191"/>
        <item x="3207"/>
        <item x="1524"/>
        <item x="1451"/>
        <item x="1465"/>
        <item x="1431"/>
        <item x="1459"/>
        <item x="1443"/>
        <item x="1425"/>
        <item x="1432"/>
        <item x="1525"/>
        <item x="1449"/>
        <item x="1480"/>
        <item x="1479"/>
        <item x="1511"/>
        <item x="1461"/>
        <item x="1462"/>
        <item x="3229"/>
        <item x="1434"/>
        <item x="1442"/>
        <item x="3150"/>
        <item x="1428"/>
        <item x="1450"/>
        <item x="1437"/>
        <item x="3195"/>
        <item x="3192"/>
        <item x="1435"/>
        <item x="3193"/>
        <item x="1436"/>
        <item x="1430"/>
        <item x="1503"/>
        <item x="1438"/>
        <item x="1526"/>
        <item x="1505"/>
        <item x="1507"/>
        <item x="3197"/>
        <item x="3226"/>
        <item x="1508"/>
        <item x="3205"/>
        <item x="1439"/>
        <item x="1440"/>
        <item x="3225"/>
        <item x="1504"/>
        <item x="1441"/>
        <item x="3206"/>
        <item x="1429"/>
        <item x="1510"/>
        <item x="3194"/>
        <item x="1506"/>
        <item x="3203"/>
        <item x="3204"/>
        <item x="3228"/>
        <item x="1527"/>
        <item x="1509"/>
        <item x="3149"/>
        <item x="3224"/>
        <item x="3230"/>
        <item x="3188"/>
        <item x="3198"/>
        <item x="1529"/>
        <item x="1426"/>
        <item x="3156"/>
        <item x="1528"/>
        <item x="3199"/>
        <item x="1530"/>
        <item x="1427"/>
        <item x="3233"/>
        <item x="3234"/>
        <item x="3242"/>
        <item x="3200"/>
        <item x="3227"/>
        <item x="3243"/>
        <item x="3174"/>
        <item x="3241"/>
        <item x="3165"/>
        <item x="3185"/>
        <item x="3159"/>
        <item x="3169"/>
        <item x="3173"/>
        <item x="3157"/>
        <item x="3172"/>
        <item x="3170"/>
        <item x="3235"/>
        <item x="3240"/>
        <item x="3201"/>
        <item x="3186"/>
        <item x="3202"/>
        <item x="3171"/>
        <item x="3232"/>
        <item x="1541"/>
        <item x="3168"/>
        <item x="3231"/>
        <item x="3147"/>
        <item x="1542"/>
        <item x="3175"/>
        <item x="3238"/>
        <item x="1531"/>
        <item x="3164"/>
        <item x="3189"/>
        <item x="1543"/>
        <item x="3252"/>
        <item x="1534"/>
        <item x="3176"/>
        <item x="3163"/>
        <item x="3183"/>
        <item x="1532"/>
        <item x="3180"/>
        <item x="3182"/>
        <item x="3237"/>
        <item x="1533"/>
        <item x="3148"/>
        <item x="1536"/>
        <item x="3167"/>
        <item x="3236"/>
        <item x="3151"/>
        <item x="1540"/>
        <item x="3187"/>
        <item x="3254"/>
        <item x="3239"/>
        <item x="1535"/>
        <item x="3251"/>
        <item x="3184"/>
        <item x="1539"/>
        <item x="1538"/>
        <item x="3158"/>
        <item x="3253"/>
        <item x="1554"/>
        <item x="1537"/>
        <item x="3246"/>
        <item x="3153"/>
        <item x="1552"/>
        <item x="3146"/>
        <item x="1560"/>
        <item x="3166"/>
        <item x="3181"/>
        <item x="3258"/>
        <item x="1556"/>
        <item x="3250"/>
        <item x="3155"/>
        <item x="3249"/>
        <item x="3247"/>
        <item x="3248"/>
        <item x="3144"/>
        <item x="3255"/>
        <item x="3177"/>
        <item x="3257"/>
        <item x="1555"/>
        <item x="3256"/>
        <item x="3245"/>
        <item x="1544"/>
        <item x="1561"/>
        <item x="3259"/>
        <item x="1562"/>
        <item x="1557"/>
        <item x="3154"/>
        <item x="1559"/>
        <item x="3178"/>
        <item x="1545"/>
        <item x="1551"/>
        <item x="1558"/>
        <item x="3161"/>
        <item x="3162"/>
        <item x="1553"/>
        <item x="3152"/>
        <item x="2093"/>
        <item x="3179"/>
        <item x="1549"/>
        <item x="1593"/>
        <item x="3141"/>
        <item x="3260"/>
        <item x="1602"/>
        <item x="3244"/>
        <item x="1606"/>
        <item x="1563"/>
        <item x="3160"/>
        <item x="1595"/>
        <item x="1607"/>
        <item x="1550"/>
        <item x="3135"/>
        <item x="1548"/>
        <item x="3143"/>
        <item x="1605"/>
        <item x="1546"/>
        <item x="3145"/>
        <item x="3142"/>
        <item x="1610"/>
        <item x="1547"/>
        <item x="1601"/>
        <item x="3261"/>
        <item x="2443"/>
        <item x="1596"/>
        <item x="1594"/>
        <item x="1611"/>
        <item x="1603"/>
        <item x="2441"/>
        <item x="2913"/>
        <item x="1599"/>
        <item x="3132"/>
        <item x="1608"/>
        <item x="1604"/>
        <item x="1592"/>
        <item x="1600"/>
        <item x="2098"/>
        <item x="2912"/>
        <item x="2094"/>
        <item x="3262"/>
        <item x="1597"/>
        <item x="1609"/>
        <item x="1573"/>
        <item x="3263"/>
        <item x="2485"/>
        <item x="2914"/>
        <item x="2488"/>
        <item x="2911"/>
        <item x="1591"/>
        <item x="1566"/>
        <item x="3134"/>
        <item x="1567"/>
        <item x="2450"/>
        <item x="1590"/>
        <item x="2489"/>
        <item x="2909"/>
        <item x="3265"/>
        <item x="1565"/>
        <item x="2915"/>
        <item x="3140"/>
        <item x="2916"/>
        <item x="1577"/>
        <item x="2910"/>
        <item x="2908"/>
        <item x="3264"/>
        <item x="1576"/>
        <item x="1564"/>
        <item x="2449"/>
        <item x="1574"/>
        <item x="1575"/>
        <item x="2925"/>
        <item x="2097"/>
        <item x="2926"/>
        <item x="3126"/>
        <item x="3133"/>
        <item x="3138"/>
        <item x="1598"/>
        <item x="1568"/>
        <item x="3279"/>
        <item x="2487"/>
        <item x="1589"/>
        <item x="3278"/>
        <item x="1586"/>
        <item x="2927"/>
        <item x="1572"/>
        <item x="2490"/>
        <item x="2907"/>
        <item x="3277"/>
        <item x="1588"/>
        <item x="2917"/>
        <item x="2899"/>
        <item x="1585"/>
        <item x="1569"/>
        <item x="2481"/>
        <item x="3139"/>
        <item x="1587"/>
        <item x="3137"/>
        <item x="2924"/>
        <item x="2905"/>
        <item x="3128"/>
        <item x="2444"/>
        <item x="2897"/>
        <item x="2928"/>
        <item x="2906"/>
        <item x="1612"/>
        <item x="2901"/>
        <item x="1613"/>
        <item x="2583"/>
        <item x="2486"/>
        <item x="2482"/>
        <item x="1570"/>
        <item x="2898"/>
        <item x="2451"/>
        <item x="1578"/>
        <item x="2930"/>
        <item x="2919"/>
        <item x="2448"/>
        <item x="2900"/>
        <item x="1579"/>
        <item x="2582"/>
        <item x="2469"/>
        <item x="3136"/>
        <item x="2896"/>
        <item x="1580"/>
        <item x="2578"/>
        <item x="2918"/>
        <item x="2484"/>
        <item x="3280"/>
        <item x="2442"/>
        <item x="3288"/>
        <item x="2895"/>
        <item x="2920"/>
        <item x="2891"/>
        <item x="2491"/>
        <item x="3276"/>
        <item x="2095"/>
        <item x="2565"/>
        <item x="3125"/>
        <item x="1571"/>
        <item x="2483"/>
        <item x="2580"/>
        <item x="3270"/>
        <item x="2563"/>
        <item x="2922"/>
        <item x="3325"/>
        <item x="3266"/>
        <item x="3271"/>
        <item x="2923"/>
        <item x="3131"/>
        <item x="3275"/>
        <item x="2584"/>
        <item x="2929"/>
        <item x="3267"/>
        <item x="2096"/>
        <item x="2579"/>
        <item x="3268"/>
        <item x="3287"/>
        <item x="2921"/>
        <item x="2561"/>
        <item x="2566"/>
        <item x="2902"/>
        <item x="2467"/>
        <item x="3285"/>
        <item x="2456"/>
        <item x="1682"/>
        <item x="2577"/>
        <item x="2452"/>
        <item x="2581"/>
        <item x="2474"/>
        <item x="2575"/>
        <item x="2479"/>
        <item x="2574"/>
        <item x="2893"/>
        <item x="1584"/>
        <item x="3330"/>
        <item x="2477"/>
        <item x="3289"/>
        <item x="1581"/>
        <item x="2560"/>
        <item x="2625"/>
        <item x="1614"/>
        <item x="3269"/>
        <item x="2564"/>
        <item x="2576"/>
        <item x="2562"/>
        <item x="1582"/>
        <item x="2904"/>
        <item x="2480"/>
        <item x="2903"/>
        <item x="2626"/>
        <item x="2440"/>
        <item x="2894"/>
        <item x="3272"/>
        <item x="2892"/>
        <item x="3284"/>
        <item x="3326"/>
        <item x="3286"/>
        <item x="3334"/>
        <item x="3273"/>
        <item x="2931"/>
        <item x="2478"/>
        <item x="2476"/>
        <item x="3331"/>
        <item x="2092"/>
        <item x="2470"/>
        <item x="2841"/>
        <item x="3129"/>
        <item x="3332"/>
        <item x="1615"/>
        <item x="2475"/>
        <item x="3333"/>
        <item x="2099"/>
        <item x="3346"/>
        <item x="1659"/>
        <item x="2447"/>
        <item x="2932"/>
        <item x="2890"/>
        <item x="2615"/>
        <item x="3274"/>
        <item x="2446"/>
        <item x="2454"/>
        <item x="2572"/>
        <item x="2624"/>
        <item x="3127"/>
        <item x="2468"/>
        <item x="1685"/>
        <item x="3291"/>
        <item x="2558"/>
        <item x="2445"/>
        <item x="2570"/>
        <item x="2567"/>
        <item x="1663"/>
        <item x="2616"/>
        <item x="2842"/>
        <item x="2840"/>
        <item x="2573"/>
        <item x="2598"/>
        <item x="2592"/>
        <item x="1683"/>
        <item x="2617"/>
        <item x="2843"/>
        <item x="2455"/>
        <item x="2934"/>
        <item x="3344"/>
        <item x="3327"/>
        <item x="2559"/>
        <item x="2473"/>
        <item x="2874"/>
        <item x="2391"/>
        <item x="2850"/>
        <item x="2935"/>
        <item x="2471"/>
        <item x="2933"/>
        <item x="3335"/>
        <item x="2619"/>
        <item x="1681"/>
        <item x="2556"/>
        <item x="2937"/>
        <item x="2492"/>
        <item x="2936"/>
        <item x="2851"/>
        <item x="2453"/>
        <item x="2849"/>
        <item x="2101"/>
        <item x="2844"/>
        <item x="3345"/>
        <item x="3329"/>
        <item x="2742"/>
        <item x="3343"/>
        <item x="2569"/>
        <item x="2466"/>
        <item x="3290"/>
        <item x="2100"/>
        <item x="2596"/>
        <item x="2555"/>
        <item x="2597"/>
        <item x="2091"/>
        <item x="2600"/>
        <item x="2620"/>
        <item x="2938"/>
        <item x="2571"/>
        <item x="2621"/>
        <item x="2493"/>
        <item x="2628"/>
        <item x="2585"/>
        <item x="2627"/>
        <item x="2464"/>
        <item x="2859"/>
        <item x="2409"/>
        <item x="1583"/>
        <item x="3130"/>
        <item x="2873"/>
        <item x="2392"/>
        <item x="2599"/>
        <item x="2390"/>
        <item x="2618"/>
        <item x="3282"/>
        <item x="1662"/>
        <item x="3292"/>
        <item x="3281"/>
        <item x="2848"/>
        <item x="2875"/>
        <item x="2244"/>
        <item x="2586"/>
        <item x="2623"/>
        <item x="2622"/>
        <item x="2457"/>
        <item x="2741"/>
        <item x="2472"/>
        <item x="2854"/>
        <item x="2839"/>
        <item x="2601"/>
        <item x="2554"/>
        <item x="2747"/>
        <item x="1684"/>
        <item x="2845"/>
        <item x="2557"/>
        <item x="2568"/>
        <item x="2846"/>
        <item x="2248"/>
        <item x="2410"/>
        <item x="2458"/>
        <item x="3124"/>
        <item x="2395"/>
        <item x="2744"/>
        <item x="2135"/>
        <item x="2591"/>
        <item x="1686"/>
        <item x="2858"/>
        <item x="3348"/>
        <item x="1689"/>
        <item x="2857"/>
        <item x="2748"/>
        <item x="2593"/>
        <item x="2698"/>
        <item x="2699"/>
        <item x="3328"/>
        <item x="2740"/>
        <item x="2247"/>
        <item x="1661"/>
        <item x="2696"/>
        <item x="2738"/>
        <item x="2594"/>
        <item x="2739"/>
        <item x="1616"/>
        <item x="2743"/>
        <item x="2746"/>
        <item x="2495"/>
        <item x="2602"/>
        <item x="2069"/>
        <item x="2604"/>
        <item x="2835"/>
        <item x="2590"/>
        <item x="2634"/>
        <item x="2872"/>
        <item x="2836"/>
        <item x="2465"/>
        <item x="1680"/>
        <item x="2852"/>
        <item x="2745"/>
        <item x="1660"/>
        <item x="2847"/>
        <item x="2753"/>
        <item x="2871"/>
        <item x="2697"/>
        <item x="2853"/>
        <item x="2737"/>
        <item x="2243"/>
        <item x="2496"/>
        <item x="2629"/>
        <item x="1618"/>
        <item x="2700"/>
        <item x="3341"/>
        <item x="2463"/>
        <item x="2838"/>
        <item x="3121"/>
        <item x="2701"/>
        <item x="2408"/>
        <item x="2855"/>
        <item x="2837"/>
        <item x="2750"/>
        <item x="2589"/>
        <item x="1664"/>
        <item x="2553"/>
        <item x="2751"/>
        <item x="2459"/>
        <item x="2752"/>
        <item x="2658"/>
        <item x="2860"/>
        <item x="2439"/>
        <item x="3283"/>
        <item x="1665"/>
        <item x="2607"/>
        <item x="2595"/>
        <item x="2249"/>
        <item x="2749"/>
        <item x="2657"/>
        <item x="2389"/>
        <item x="2656"/>
        <item x="2501"/>
        <item x="2613"/>
        <item x="2437"/>
        <item x="2635"/>
        <item x="2636"/>
        <item x="2246"/>
        <item x="2654"/>
        <item x="2552"/>
        <item x="2703"/>
        <item x="2862"/>
        <item x="2695"/>
        <item x="2633"/>
        <item x="2655"/>
        <item x="2430"/>
        <item x="2551"/>
        <item x="1688"/>
        <item x="2605"/>
        <item x="2386"/>
        <item x="2603"/>
        <item x="3293"/>
        <item x="2632"/>
        <item x="2614"/>
        <item x="2606"/>
        <item x="2856"/>
        <item x="3336"/>
        <item x="2411"/>
        <item x="2499"/>
        <item x="2702"/>
        <item x="2539"/>
        <item x="1647"/>
        <item x="2609"/>
        <item x="3342"/>
        <item x="2070"/>
        <item x="3119"/>
        <item x="2759"/>
        <item x="2250"/>
        <item x="2436"/>
        <item x="2102"/>
        <item x="2939"/>
        <item x="2431"/>
        <item x="2435"/>
        <item x="2758"/>
        <item x="2412"/>
        <item x="2630"/>
        <item x="2131"/>
        <item x="2834"/>
        <item x="2503"/>
        <item x="2694"/>
        <item x="1649"/>
        <item x="2413"/>
        <item x="2438"/>
        <item x="2245"/>
        <item x="2832"/>
        <item x="1678"/>
        <item x="2831"/>
        <item x="2406"/>
        <item x="3120"/>
        <item x="1679"/>
        <item x="2504"/>
        <item x="2587"/>
        <item x="2462"/>
        <item x="2394"/>
        <item x="1650"/>
        <item x="2631"/>
        <item x="1644"/>
        <item x="3340"/>
        <item x="2401"/>
        <item x="2608"/>
        <item x="1619"/>
        <item x="2461"/>
        <item x="2387"/>
        <item x="1643"/>
        <item x="2388"/>
        <item x="2423"/>
        <item x="2494"/>
        <item x="2637"/>
        <item x="2405"/>
        <item x="2652"/>
        <item x="2653"/>
        <item x="2760"/>
        <item x="2612"/>
        <item x="3122"/>
        <item x="2661"/>
        <item x="2651"/>
        <item x="1617"/>
        <item x="2660"/>
        <item x="2533"/>
        <item x="2498"/>
        <item x="1648"/>
        <item x="2830"/>
        <item x="2833"/>
        <item x="2105"/>
        <item x="2415"/>
        <item x="1697"/>
        <item x="2757"/>
        <item x="2870"/>
        <item x="1658"/>
        <item x="2407"/>
        <item x="2429"/>
        <item x="2502"/>
        <item x="1669"/>
        <item x="2396"/>
        <item x="2736"/>
        <item x="1687"/>
        <item x="2611"/>
        <item x="2610"/>
        <item x="1698"/>
        <item x="2647"/>
        <item x="2735"/>
        <item x="2882"/>
        <item x="2414"/>
        <item x="2662"/>
        <item x="1694"/>
        <item x="2761"/>
        <item x="2103"/>
        <item x="2861"/>
        <item x="2648"/>
        <item x="1696"/>
        <item x="2240"/>
        <item x="2433"/>
        <item x="1646"/>
        <item x="2650"/>
        <item x="2425"/>
        <item x="2756"/>
        <item x="2538"/>
        <item x="1666"/>
        <item x="2384"/>
        <item x="2535"/>
        <item x="2251"/>
        <item x="2734"/>
        <item x="2887"/>
        <item x="3339"/>
        <item x="2505"/>
        <item x="2755"/>
        <item x="2087"/>
        <item x="2588"/>
        <item x="2497"/>
        <item x="2869"/>
        <item x="2704"/>
        <item x="1692"/>
        <item x="2500"/>
        <item x="2434"/>
        <item x="1690"/>
        <item x="2649"/>
        <item x="2460"/>
        <item x="2659"/>
        <item x="2404"/>
        <item x="2818"/>
        <item x="2705"/>
        <item x="1695"/>
        <item x="2876"/>
        <item x="2827"/>
        <item x="2693"/>
        <item x="2138"/>
        <item x="2645"/>
        <item x="2537"/>
        <item x="2733"/>
        <item x="3294"/>
        <item x="1645"/>
        <item x="2824"/>
        <item x="2829"/>
        <item x="2506"/>
        <item x="2692"/>
        <item x="2104"/>
        <item x="2823"/>
        <item x="2530"/>
        <item x="1693"/>
        <item x="2732"/>
        <item x="2826"/>
        <item x="2940"/>
        <item x="2828"/>
        <item x="2819"/>
        <item x="1623"/>
        <item x="2865"/>
        <item x="1651"/>
        <item x="2881"/>
        <item x="2825"/>
        <item x="2133"/>
        <item x="2402"/>
        <item x="2822"/>
        <item x="1620"/>
        <item x="2540"/>
        <item x="2385"/>
        <item x="2866"/>
        <item x="2068"/>
        <item x="2638"/>
        <item x="2646"/>
        <item x="2541"/>
        <item x="2728"/>
        <item x="2536"/>
        <item x="2880"/>
        <item x="2511"/>
        <item x="2242"/>
        <item x="2886"/>
        <item x="2730"/>
        <item x="1624"/>
        <item x="2727"/>
        <item x="1670"/>
        <item x="2821"/>
        <item x="3347"/>
        <item x="1625"/>
        <item x="2731"/>
        <item x="2383"/>
        <item x="2132"/>
        <item x="2400"/>
        <item x="2726"/>
        <item x="2729"/>
        <item x="2867"/>
        <item x="2707"/>
        <item x="1668"/>
        <item x="2422"/>
        <item x="2706"/>
        <item x="2426"/>
        <item x="2817"/>
        <item x="1667"/>
        <item x="2424"/>
        <item x="2532"/>
        <item x="2790"/>
        <item x="1621"/>
        <item x="2889"/>
        <item x="1642"/>
        <item x="2417"/>
        <item x="2544"/>
        <item x="2864"/>
        <item x="2788"/>
        <item x="2709"/>
        <item x="2134"/>
        <item x="2241"/>
        <item x="2816"/>
        <item x="2421"/>
        <item x="1702"/>
        <item x="2796"/>
        <item x="2691"/>
        <item x="1703"/>
        <item x="2710"/>
        <item x="2088"/>
        <item x="2754"/>
        <item x="2820"/>
        <item x="2534"/>
        <item x="2795"/>
        <item x="2512"/>
        <item x="2663"/>
        <item x="2643"/>
        <item x="2256"/>
        <item x="2066"/>
        <item x="2725"/>
        <item x="1671"/>
        <item x="2791"/>
        <item x="2641"/>
        <item x="1657"/>
        <item x="2762"/>
        <item x="1699"/>
        <item x="2531"/>
        <item x="3123"/>
        <item x="1622"/>
        <item x="2428"/>
        <item x="2708"/>
        <item x="2711"/>
        <item x="2398"/>
        <item x="2868"/>
        <item x="2542"/>
        <item x="2792"/>
        <item x="2375"/>
        <item x="2642"/>
        <item x="2403"/>
        <item x="2639"/>
        <item x="2432"/>
        <item x="2517"/>
        <item x="2373"/>
        <item x="1705"/>
        <item x="2397"/>
        <item x="2712"/>
        <item x="2427"/>
        <item x="1626"/>
        <item x="2640"/>
        <item x="2776"/>
        <item x="1641"/>
        <item x="2393"/>
        <item x="2794"/>
        <item x="1691"/>
        <item x="2797"/>
        <item x="1677"/>
        <item x="2644"/>
        <item x="2787"/>
        <item x="1673"/>
        <item x="2717"/>
        <item x="2510"/>
        <item x="2888"/>
        <item x="2716"/>
        <item x="2798"/>
        <item x="3103"/>
        <item x="1656"/>
        <item x="2774"/>
        <item x="2989"/>
        <item x="2793"/>
        <item x="2418"/>
        <item x="2807"/>
        <item x="2771"/>
        <item x="1653"/>
        <item x="2724"/>
        <item x="1655"/>
        <item x="2715"/>
        <item x="2528"/>
        <item x="1639"/>
        <item x="2550"/>
        <item x="2513"/>
        <item x="2064"/>
        <item x="2879"/>
        <item x="2238"/>
        <item x="2722"/>
        <item x="2063"/>
        <item x="2789"/>
        <item x="3118"/>
        <item x="2529"/>
        <item x="2806"/>
        <item x="1627"/>
        <item x="2257"/>
        <item x="2863"/>
        <item x="1701"/>
        <item x="2416"/>
        <item x="2065"/>
        <item x="2883"/>
        <item x="2382"/>
        <item x="2677"/>
        <item x="2718"/>
        <item x="1652"/>
        <item x="1675"/>
        <item x="2988"/>
        <item x="2419"/>
        <item x="2377"/>
        <item x="2878"/>
        <item x="2772"/>
        <item x="2399"/>
        <item x="2067"/>
        <item x="3295"/>
        <item x="2773"/>
        <item x="2543"/>
        <item x="2545"/>
        <item x="2137"/>
        <item x="2723"/>
        <item x="2877"/>
        <item x="2516"/>
        <item x="3033"/>
        <item x="2371"/>
        <item x="1706"/>
        <item x="2941"/>
        <item x="2777"/>
        <item x="2546"/>
        <item x="2376"/>
        <item x="1704"/>
        <item x="2808"/>
        <item x="3337"/>
        <item x="2802"/>
        <item x="2420"/>
        <item x="2884"/>
        <item x="2509"/>
        <item x="2237"/>
        <item x="2262"/>
        <item x="1700"/>
        <item x="2770"/>
        <item x="2780"/>
        <item x="2136"/>
        <item x="2885"/>
        <item x="2235"/>
        <item x="2786"/>
        <item x="1638"/>
        <item x="2785"/>
        <item x="2809"/>
        <item x="2987"/>
        <item x="2139"/>
        <item x="2719"/>
        <item x="2992"/>
        <item x="2252"/>
        <item x="2799"/>
        <item x="2121"/>
        <item x="2775"/>
        <item x="2549"/>
        <item x="2713"/>
        <item x="1654"/>
        <item x="2374"/>
        <item x="2258"/>
        <item x="2369"/>
        <item x="2801"/>
        <item x="2804"/>
        <item x="2380"/>
        <item x="2259"/>
        <item x="2547"/>
        <item x="3338"/>
        <item x="1634"/>
        <item x="2714"/>
        <item x="1676"/>
        <item x="2253"/>
        <item x="2370"/>
        <item x="3117"/>
        <item x="2675"/>
        <item x="1636"/>
        <item x="3032"/>
        <item x="1674"/>
        <item x="2527"/>
        <item x="2767"/>
        <item x="2062"/>
        <item x="2764"/>
        <item x="1628"/>
        <item x="2664"/>
        <item x="2518"/>
        <item x="2084"/>
        <item x="2379"/>
        <item x="2778"/>
        <item x="3312"/>
        <item x="2507"/>
        <item x="2086"/>
        <item x="2515"/>
        <item x="2763"/>
        <item x="2526"/>
        <item x="1640"/>
        <item x="2668"/>
        <item x="2667"/>
        <item x="2122"/>
        <item x="2666"/>
        <item x="2765"/>
        <item x="2991"/>
        <item x="1672"/>
        <item x="2803"/>
        <item x="3037"/>
        <item x="2665"/>
        <item x="2782"/>
        <item x="2522"/>
        <item x="1637"/>
        <item x="2674"/>
        <item x="2233"/>
        <item x="2720"/>
        <item x="2548"/>
        <item x="2784"/>
        <item x="2514"/>
        <item x="2670"/>
        <item x="3386"/>
        <item x="2508"/>
        <item x="2678"/>
        <item x="2234"/>
        <item x="2800"/>
        <item x="2993"/>
        <item x="2990"/>
        <item x="2768"/>
        <item x="2766"/>
        <item x="2140"/>
        <item x="2783"/>
        <item x="3034"/>
        <item x="2381"/>
        <item x="2372"/>
        <item x="3104"/>
        <item x="2090"/>
        <item x="2769"/>
        <item x="2368"/>
        <item x="3038"/>
        <item x="2120"/>
        <item x="2781"/>
        <item x="3036"/>
        <item x="2686"/>
        <item x="2083"/>
        <item x="2994"/>
        <item x="2805"/>
        <item x="2942"/>
        <item x="2127"/>
        <item x="2945"/>
        <item x="2986"/>
        <item x="3107"/>
        <item x="3116"/>
        <item x="2944"/>
        <item x="2685"/>
        <item x="2239"/>
        <item x="2721"/>
        <item x="2943"/>
        <item x="2682"/>
        <item x="2676"/>
        <item x="2524"/>
        <item x="2525"/>
        <item x="2962"/>
        <item x="2254"/>
        <item x="2236"/>
        <item x="3324"/>
        <item x="2690"/>
        <item x="2669"/>
        <item x="2378"/>
        <item x="2684"/>
        <item x="2519"/>
        <item x="2688"/>
        <item x="2683"/>
        <item x="2263"/>
        <item x="3030"/>
        <item x="3311"/>
        <item x="2946"/>
        <item x="2961"/>
        <item x="2343"/>
        <item x="2779"/>
        <item x="2984"/>
        <item x="2255"/>
        <item x="2342"/>
        <item x="2260"/>
        <item x="2089"/>
        <item x="2523"/>
        <item x="3385"/>
        <item x="2672"/>
        <item x="2271"/>
        <item x="2679"/>
        <item x="2118"/>
        <item x="2995"/>
        <item x="2520"/>
        <item x="2521"/>
        <item x="2949"/>
        <item x="1630"/>
        <item x="2960"/>
        <item x="2681"/>
        <item x="3389"/>
        <item x="3035"/>
        <item x="2347"/>
        <item x="3106"/>
        <item x="1635"/>
        <item x="2680"/>
        <item x="2346"/>
        <item x="3394"/>
        <item x="3113"/>
        <item x="3108"/>
        <item x="2261"/>
        <item x="2687"/>
        <item x="2948"/>
        <item x="1633"/>
        <item x="2947"/>
        <item x="3114"/>
        <item x="2345"/>
        <item x="2811"/>
        <item x="3313"/>
        <item x="3029"/>
        <item x="2810"/>
        <item x="3309"/>
        <item x="2959"/>
        <item x="3349"/>
        <item x="1631"/>
        <item x="2689"/>
        <item x="2958"/>
        <item x="2983"/>
        <item x="2117"/>
        <item x="2956"/>
        <item x="1629"/>
        <item x="2951"/>
        <item x="2119"/>
        <item x="3299"/>
        <item x="3105"/>
        <item x="2963"/>
        <item x="2270"/>
        <item x="3040"/>
        <item x="2985"/>
        <item x="2340"/>
        <item x="2950"/>
        <item x="2955"/>
        <item x="1632"/>
        <item x="3020"/>
        <item x="2125"/>
        <item x="2982"/>
        <item x="3021"/>
        <item x="3350"/>
        <item x="2344"/>
        <item x="2964"/>
        <item x="2228"/>
        <item x="2061"/>
        <item x="2957"/>
        <item x="3314"/>
        <item x="2673"/>
        <item x="2981"/>
        <item x="2364"/>
        <item x="3012"/>
        <item x="2130"/>
        <item x="3296"/>
        <item x="2967"/>
        <item x="3316"/>
        <item x="2971"/>
        <item x="3310"/>
        <item x="2126"/>
        <item x="2124"/>
        <item x="3039"/>
        <item x="3041"/>
        <item x="2128"/>
        <item x="2365"/>
        <item x="2813"/>
        <item x="3024"/>
        <item x="3384"/>
        <item x="2954"/>
        <item x="2812"/>
        <item x="3115"/>
        <item x="2123"/>
        <item x="3298"/>
        <item x="1707"/>
        <item x="2969"/>
        <item x="2269"/>
        <item x="3023"/>
        <item x="2141"/>
        <item x="3013"/>
        <item x="2968"/>
        <item x="3022"/>
        <item x="3315"/>
        <item x="2952"/>
        <item x="2333"/>
        <item x="3044"/>
        <item x="2953"/>
        <item x="2970"/>
        <item x="2085"/>
        <item x="2997"/>
        <item x="2341"/>
        <item x="2671"/>
        <item x="2815"/>
        <item x="2814"/>
        <item x="2965"/>
        <item x="3031"/>
        <item x="3018"/>
        <item x="2142"/>
        <item x="3025"/>
        <item x="3045"/>
        <item x="2361"/>
        <item x="2106"/>
        <item x="2336"/>
        <item x="2264"/>
        <item x="2966"/>
        <item x="3042"/>
        <item x="3297"/>
        <item x="2339"/>
        <item x="2996"/>
        <item x="2232"/>
        <item x="3323"/>
        <item x="3388"/>
        <item x="2366"/>
        <item x="2060"/>
        <item x="3393"/>
        <item x="3008"/>
        <item x="2367"/>
        <item x="2332"/>
        <item x="3383"/>
        <item x="2265"/>
        <item x="3019"/>
        <item x="2363"/>
        <item x="3043"/>
        <item x="3351"/>
        <item x="3110"/>
        <item x="3390"/>
        <item x="3307"/>
        <item x="3395"/>
        <item x="2107"/>
        <item x="3011"/>
        <item x="2058"/>
        <item x="3046"/>
        <item x="2334"/>
        <item x="2227"/>
        <item x="3317"/>
        <item x="2129"/>
        <item x="3308"/>
        <item x="3300"/>
        <item x="2231"/>
        <item x="2226"/>
        <item x="2144"/>
        <item x="2998"/>
        <item x="2113"/>
        <item x="3109"/>
        <item x="1708"/>
        <item x="2976"/>
        <item x="3017"/>
        <item x="3372"/>
        <item x="2979"/>
        <item x="3015"/>
        <item x="1711"/>
        <item x="3016"/>
        <item x="3014"/>
        <item x="2978"/>
        <item x="1714"/>
        <item x="3322"/>
        <item x="2330"/>
        <item x="2335"/>
        <item x="2331"/>
        <item x="3002"/>
        <item x="3010"/>
        <item x="2977"/>
        <item x="2357"/>
        <item x="2056"/>
        <item x="3391"/>
        <item x="3381"/>
        <item x="2059"/>
        <item x="2266"/>
        <item x="3319"/>
        <item x="2362"/>
        <item x="2348"/>
        <item x="3007"/>
        <item x="2273"/>
        <item x="3000"/>
        <item x="2012"/>
        <item x="2975"/>
        <item x="2145"/>
        <item x="2011"/>
        <item x="3382"/>
        <item x="3306"/>
        <item x="3001"/>
        <item x="3009"/>
        <item x="3028"/>
        <item x="3373"/>
        <item x="3301"/>
        <item x="3006"/>
        <item x="2338"/>
        <item x="3321"/>
        <item x="2980"/>
        <item x="3318"/>
        <item x="3003"/>
        <item x="3004"/>
        <item x="2109"/>
        <item x="2337"/>
        <item x="2272"/>
        <item x="3387"/>
        <item x="2071"/>
        <item x="2224"/>
        <item x="3305"/>
        <item x="3304"/>
        <item x="2114"/>
        <item x="2999"/>
        <item x="3005"/>
        <item x="2973"/>
        <item x="3375"/>
        <item x="2229"/>
        <item x="3320"/>
        <item x="2356"/>
        <item x="1709"/>
        <item x="2359"/>
        <item x="3047"/>
        <item x="2143"/>
        <item x="2268"/>
        <item x="2974"/>
        <item x="2360"/>
        <item x="2116"/>
        <item x="3374"/>
        <item x="3449"/>
        <item x="2230"/>
        <item x="2326"/>
        <item x="3302"/>
        <item x="3392"/>
        <item x="2112"/>
        <item x="3027"/>
        <item x="3447"/>
        <item x="2972"/>
        <item x="3448"/>
        <item x="2358"/>
        <item x="3048"/>
        <item x="2355"/>
        <item x="2267"/>
        <item x="2013"/>
        <item x="3352"/>
        <item x="2329"/>
        <item x="2057"/>
        <item x="2225"/>
        <item x="2352"/>
        <item x="3354"/>
        <item x="3303"/>
        <item x="2289"/>
        <item x="2327"/>
        <item x="3353"/>
        <item x="3111"/>
        <item x="2108"/>
        <item x="3355"/>
        <item x="2052"/>
        <item x="3026"/>
        <item x="3371"/>
        <item x="2350"/>
        <item x="3359"/>
        <item x="3436"/>
        <item x="2009"/>
        <item x="2222"/>
        <item x="3441"/>
        <item x="3431"/>
        <item x="2055"/>
        <item x="2274"/>
        <item x="2349"/>
        <item x="3450"/>
        <item x="3433"/>
        <item x="1713"/>
        <item x="3435"/>
        <item x="3356"/>
        <item x="3380"/>
        <item x="3396"/>
        <item x="3112"/>
        <item x="2351"/>
        <item x="3430"/>
        <item x="3360"/>
        <item x="1715"/>
        <item x="3432"/>
        <item x="2328"/>
        <item x="2288"/>
        <item x="3446"/>
        <item x="3434"/>
        <item x="2324"/>
        <item x="2325"/>
        <item x="3376"/>
        <item x="3098"/>
        <item x="3370"/>
        <item x="3097"/>
        <item x="2353"/>
        <item x="3378"/>
        <item x="1721"/>
        <item x="3049"/>
        <item x="2110"/>
        <item x="3361"/>
        <item x="1710"/>
        <item x="3379"/>
        <item x="2285"/>
        <item x="3362"/>
        <item x="3437"/>
        <item x="3358"/>
        <item x="2008"/>
        <item x="2291"/>
        <item x="3377"/>
        <item x="3368"/>
        <item x="2054"/>
        <item x="2354"/>
        <item x="3367"/>
        <item x="3102"/>
        <item x="2276"/>
        <item x="2073"/>
        <item x="2322"/>
        <item x="2197"/>
        <item x="2111"/>
        <item x="3369"/>
        <item x="2014"/>
        <item x="3357"/>
        <item x="2323"/>
        <item x="2223"/>
        <item x="2115"/>
        <item x="2221"/>
        <item x="3440"/>
        <item x="2286"/>
        <item x="1712"/>
        <item x="2292"/>
        <item x="2275"/>
        <item x="2290"/>
        <item x="2217"/>
        <item x="3457"/>
        <item x="2053"/>
        <item x="2218"/>
        <item x="3458"/>
        <item x="3366"/>
        <item x="2007"/>
        <item x="2287"/>
        <item x="3365"/>
        <item x="2072"/>
        <item x="3101"/>
        <item x="2277"/>
        <item x="3397"/>
        <item x="3403"/>
        <item x="3363"/>
        <item x="3404"/>
        <item x="2284"/>
        <item x="2146"/>
        <item x="3100"/>
        <item x="2209"/>
        <item x="3451"/>
        <item x="2219"/>
        <item x="3071"/>
        <item x="2010"/>
        <item x="3456"/>
        <item x="1717"/>
        <item x="3452"/>
        <item x="2196"/>
        <item x="3364"/>
        <item x="3439"/>
        <item x="2282"/>
        <item x="3438"/>
        <item x="1719"/>
        <item x="2278"/>
        <item x="2210"/>
        <item x="2051"/>
        <item x="2220"/>
        <item x="3070"/>
        <item x="3453"/>
        <item x="3099"/>
        <item x="1722"/>
        <item x="3066"/>
        <item x="2280"/>
        <item x="3402"/>
        <item x="2293"/>
        <item x="3096"/>
        <item x="3443"/>
        <item x="2195"/>
        <item x="2321"/>
        <item x="2281"/>
        <item x="2215"/>
        <item x="3465"/>
        <item x="2003"/>
        <item x="2211"/>
        <item x="3398"/>
        <item x="3095"/>
        <item x="2310"/>
        <item x="2299"/>
        <item x="2015"/>
        <item x="2206"/>
        <item x="2216"/>
        <item x="2078"/>
        <item x="3094"/>
        <item x="2212"/>
        <item x="2198"/>
        <item x="3442"/>
        <item x="2283"/>
        <item x="3459"/>
        <item x="2208"/>
        <item x="3464"/>
        <item x="3401"/>
        <item x="1992"/>
        <item x="3454"/>
        <item x="2304"/>
        <item x="1716"/>
        <item x="3445"/>
        <item x="1718"/>
        <item x="1723"/>
        <item x="2182"/>
        <item x="2214"/>
        <item x="3090"/>
        <item x="3399"/>
        <item x="1720"/>
        <item x="2311"/>
        <item x="2297"/>
        <item x="2205"/>
        <item x="3444"/>
        <item x="2151"/>
        <item x="3460"/>
        <item x="3068"/>
        <item x="1724"/>
        <item x="3069"/>
        <item x="2306"/>
        <item x="3455"/>
        <item x="2183"/>
        <item x="3420"/>
        <item x="2077"/>
        <item x="3067"/>
        <item x="2300"/>
        <item x="2213"/>
        <item x="3058"/>
        <item x="2207"/>
        <item x="3400"/>
        <item x="3061"/>
        <item x="2305"/>
        <item x="2148"/>
        <item x="2307"/>
        <item x="2006"/>
        <item x="3405"/>
        <item x="3462"/>
        <item x="2080"/>
        <item x="3463"/>
        <item x="2002"/>
        <item x="3093"/>
        <item x="2296"/>
        <item x="3461"/>
        <item x="2308"/>
        <item x="3060"/>
        <item x="2309"/>
        <item x="2004"/>
        <item x="3424"/>
        <item x="2279"/>
        <item x="3063"/>
        <item x="2298"/>
        <item x="1994"/>
        <item x="2181"/>
        <item x="2147"/>
        <item x="2163"/>
        <item x="2294"/>
        <item x="2049"/>
        <item x="3406"/>
        <item x="2162"/>
        <item x="3062"/>
        <item x="3076"/>
        <item x="3065"/>
        <item x="2050"/>
        <item x="3466"/>
        <item x="2160"/>
        <item x="3072"/>
        <item x="3425"/>
        <item x="3064"/>
        <item x="2318"/>
        <item x="2194"/>
        <item x="2154"/>
        <item x="3409"/>
        <item x="2313"/>
        <item x="2317"/>
        <item x="2295"/>
        <item x="3092"/>
        <item x="2029"/>
        <item x="3421"/>
        <item x="2315"/>
        <item x="2159"/>
        <item x="3088"/>
        <item x="3080"/>
        <item x="2164"/>
        <item x="3418"/>
        <item x="2005"/>
        <item x="2186"/>
        <item x="2187"/>
        <item x="2075"/>
        <item x="3091"/>
        <item x="2180"/>
        <item x="1725"/>
        <item x="3059"/>
        <item x="2079"/>
        <item x="3077"/>
        <item x="2301"/>
        <item x="2027"/>
        <item x="3074"/>
        <item x="2074"/>
        <item x="3423"/>
        <item x="3073"/>
        <item x="2030"/>
        <item x="2150"/>
        <item x="3051"/>
        <item x="2161"/>
        <item x="2171"/>
        <item x="2170"/>
        <item x="1727"/>
        <item x="3089"/>
        <item x="2312"/>
        <item x="3422"/>
        <item x="2302"/>
        <item x="2316"/>
        <item x="2048"/>
        <item x="1733"/>
        <item x="1993"/>
        <item x="2314"/>
        <item x="2158"/>
        <item x="2184"/>
        <item x="2046"/>
        <item x="3417"/>
        <item x="3057"/>
        <item x="2303"/>
        <item x="1732"/>
        <item x="3075"/>
        <item x="2319"/>
        <item x="3413"/>
        <item x="3081"/>
        <item x="2016"/>
        <item x="3416"/>
        <item x="2028"/>
        <item x="2149"/>
        <item x="2166"/>
        <item x="3407"/>
        <item x="1996"/>
        <item x="2153"/>
        <item x="3411"/>
        <item x="1995"/>
        <item x="2185"/>
        <item x="2320"/>
        <item x="1998"/>
        <item x="3414"/>
        <item x="2081"/>
        <item x="3419"/>
        <item x="3412"/>
        <item x="2031"/>
        <item x="3410"/>
        <item x="3050"/>
        <item x="2047"/>
        <item x="2045"/>
        <item x="2188"/>
        <item x="3408"/>
        <item x="2152"/>
        <item x="2044"/>
        <item x="1726"/>
        <item x="1731"/>
        <item x="2165"/>
        <item x="2076"/>
        <item x="2169"/>
        <item x="2157"/>
        <item x="2000"/>
        <item x="3078"/>
        <item x="2193"/>
        <item x="1734"/>
        <item x="1999"/>
        <item x="2203"/>
        <item x="2192"/>
        <item x="3079"/>
        <item x="2039"/>
        <item x="2082"/>
        <item x="2179"/>
        <item x="3087"/>
        <item x="2041"/>
        <item x="2172"/>
        <item x="3469"/>
        <item x="1729"/>
        <item x="3429"/>
        <item x="2168"/>
        <item x="2043"/>
        <item x="3415"/>
        <item x="2037"/>
        <item x="3056"/>
        <item x="3470"/>
        <item x="3468"/>
        <item x="1740"/>
        <item x="2001"/>
        <item x="2189"/>
        <item x="2201"/>
        <item x="1730"/>
        <item x="3086"/>
        <item x="2040"/>
        <item x="2042"/>
        <item x="2200"/>
        <item x="2155"/>
        <item x="3467"/>
        <item x="3428"/>
        <item x="3510"/>
        <item x="3511"/>
        <item x="2038"/>
        <item x="2199"/>
        <item x="2036"/>
        <item x="3519"/>
        <item x="2167"/>
        <item x="1728"/>
        <item x="2202"/>
        <item x="3514"/>
        <item x="3471"/>
        <item x="1741"/>
        <item x="3084"/>
        <item x="2156"/>
        <item x="2178"/>
        <item x="2177"/>
        <item x="2035"/>
        <item x="3085"/>
        <item x="3509"/>
        <item x="2026"/>
        <item x="3426"/>
        <item x="2174"/>
        <item x="2017"/>
        <item x="2034"/>
        <item x="3501"/>
        <item x="3427"/>
        <item x="2018"/>
        <item x="2204"/>
        <item x="2173"/>
        <item x="2033"/>
        <item x="3518"/>
        <item x="2190"/>
        <item x="3513"/>
        <item x="3055"/>
        <item x="1763"/>
        <item x="3517"/>
        <item x="2191"/>
        <item x="3500"/>
        <item x="3520"/>
        <item x="2025"/>
        <item x="3082"/>
        <item x="2176"/>
        <item x="3083"/>
        <item x="3503"/>
        <item x="1735"/>
        <item x="3472"/>
        <item x="3515"/>
        <item x="3498"/>
        <item x="1997"/>
        <item x="3054"/>
        <item x="3481"/>
        <item x="3512"/>
        <item x="3502"/>
        <item x="3052"/>
        <item x="2175"/>
        <item x="2019"/>
        <item x="3516"/>
        <item x="1739"/>
        <item x="3499"/>
        <item x="3508"/>
        <item x="1764"/>
        <item x="3053"/>
        <item x="1989"/>
        <item x="3482"/>
        <item x="2032"/>
        <item x="1771"/>
        <item x="3507"/>
        <item x="3521"/>
        <item x="3480"/>
        <item x="1765"/>
        <item x="3497"/>
        <item x="3505"/>
        <item x="3486"/>
        <item x="3476"/>
        <item x="3483"/>
        <item x="1772"/>
        <item x="3506"/>
        <item x="3524"/>
        <item x="1742"/>
        <item x="3504"/>
        <item x="1738"/>
        <item x="3522"/>
        <item x="1762"/>
        <item x="3525"/>
        <item x="1769"/>
        <item x="3529"/>
        <item x="3484"/>
        <item x="3475"/>
        <item x="3487"/>
        <item x="3496"/>
        <item x="3523"/>
        <item x="1737"/>
        <item x="3485"/>
        <item x="3528"/>
        <item x="3537"/>
        <item x="3526"/>
        <item x="3474"/>
        <item x="1736"/>
        <item x="3534"/>
        <item x="3479"/>
        <item x="3530"/>
        <item x="3536"/>
        <item x="3533"/>
        <item x="1770"/>
        <item x="3527"/>
        <item x="3492"/>
        <item x="3478"/>
        <item x="3538"/>
        <item x="1773"/>
        <item x="3495"/>
        <item x="1825"/>
        <item x="3488"/>
        <item x="3532"/>
        <item x="3477"/>
        <item x="3473"/>
        <item x="1828"/>
        <item x="1767"/>
        <item x="3535"/>
        <item x="3490"/>
        <item x="3493"/>
        <item x="1768"/>
        <item x="3531"/>
        <item x="1819"/>
        <item x="3489"/>
        <item x="2021"/>
        <item x="1824"/>
        <item x="3494"/>
        <item x="1774"/>
        <item x="1823"/>
        <item x="1833"/>
        <item x="1766"/>
        <item x="1743"/>
        <item x="3491"/>
        <item x="1815"/>
        <item x="1813"/>
        <item x="3567"/>
        <item x="1746"/>
        <item x="2024"/>
        <item x="3556"/>
        <item x="1827"/>
        <item x="3555"/>
        <item x="1822"/>
        <item x="1826"/>
        <item x="3540"/>
        <item x="1820"/>
        <item x="3545"/>
        <item x="2020"/>
        <item x="3568"/>
        <item x="3566"/>
        <item x="1761"/>
        <item x="1991"/>
        <item x="1816"/>
        <item x="3570"/>
        <item x="3539"/>
        <item x="1814"/>
        <item x="1745"/>
        <item x="3574"/>
        <item x="1988"/>
        <item x="3569"/>
        <item x="1821"/>
        <item x="3576"/>
        <item x="1831"/>
        <item x="3561"/>
        <item x="2022"/>
        <item x="1775"/>
        <item x="1755"/>
        <item x="1829"/>
        <item x="3544"/>
        <item x="3552"/>
        <item x="3553"/>
        <item x="3575"/>
        <item x="1817"/>
        <item x="3562"/>
        <item x="3551"/>
        <item x="3563"/>
        <item x="1812"/>
        <item x="3559"/>
        <item x="2023"/>
        <item x="3571"/>
        <item x="3560"/>
        <item x="1756"/>
        <item x="3558"/>
        <item x="1758"/>
        <item x="1779"/>
        <item x="3578"/>
        <item x="3579"/>
        <item x="1830"/>
        <item x="1759"/>
        <item x="3542"/>
        <item x="3580"/>
        <item x="3573"/>
        <item x="1818"/>
        <item x="1990"/>
        <item x="3583"/>
        <item x="3546"/>
        <item x="3584"/>
        <item x="3541"/>
        <item x="3543"/>
        <item x="1777"/>
        <item x="3577"/>
        <item x="1778"/>
        <item x="3557"/>
        <item x="3572"/>
        <item x="1776"/>
        <item x="1747"/>
        <item x="3554"/>
        <item x="1803"/>
        <item x="3565"/>
        <item x="3590"/>
        <item x="1744"/>
        <item x="3760"/>
        <item x="1760"/>
        <item x="3761"/>
        <item x="3582"/>
        <item x="3589"/>
        <item x="3564"/>
        <item x="1865"/>
        <item x="3581"/>
        <item x="3759"/>
        <item x="3758"/>
        <item x="3547"/>
        <item x="1805"/>
        <item x="3550"/>
        <item x="3751"/>
        <item x="1811"/>
        <item x="1810"/>
        <item x="3588"/>
        <item x="1832"/>
        <item x="3727"/>
        <item x="3585"/>
        <item x="3591"/>
        <item x="3587"/>
        <item x="3729"/>
        <item x="1757"/>
        <item x="3549"/>
        <item x="3752"/>
        <item x="3548"/>
        <item x="1834"/>
        <item x="3757"/>
        <item x="1780"/>
        <item x="3586"/>
        <item x="3592"/>
        <item x="3595"/>
        <item x="3763"/>
        <item x="3762"/>
        <item x="3753"/>
        <item x="1804"/>
        <item x="3730"/>
        <item x="3767"/>
        <item x="1786"/>
        <item x="3594"/>
        <item x="3606"/>
        <item x="3593"/>
        <item x="1868"/>
        <item x="3607"/>
        <item x="3601"/>
        <item x="1754"/>
        <item x="3599"/>
        <item x="3597"/>
        <item x="3764"/>
        <item x="3605"/>
        <item x="1782"/>
        <item x="3604"/>
        <item x="3832"/>
        <item x="3731"/>
        <item x="3602"/>
        <item x="3603"/>
        <item x="1753"/>
        <item x="1987"/>
        <item x="3750"/>
        <item x="3596"/>
        <item x="1809"/>
        <item x="3728"/>
        <item x="3598"/>
        <item x="3608"/>
        <item x="1864"/>
        <item x="3609"/>
        <item x="1749"/>
        <item x="3766"/>
        <item x="3600"/>
        <item x="3765"/>
        <item x="1781"/>
        <item x="1867"/>
        <item x="3754"/>
        <item x="1838"/>
        <item x="1866"/>
        <item x="3733"/>
        <item x="1861"/>
        <item x="3735"/>
        <item x="1860"/>
        <item x="3732"/>
        <item x="3610"/>
        <item x="1806"/>
        <item x="1835"/>
        <item x="1863"/>
        <item x="3734"/>
        <item x="3834"/>
        <item x="3769"/>
        <item x="3726"/>
        <item x="3829"/>
        <item x="3626"/>
        <item x="1784"/>
        <item x="1787"/>
        <item x="3749"/>
        <item x="3623"/>
        <item x="1862"/>
        <item x="3755"/>
        <item x="1748"/>
        <item x="3756"/>
        <item x="1859"/>
        <item x="3768"/>
        <item x="1800"/>
        <item x="3770"/>
        <item x="1807"/>
        <item x="1986"/>
        <item x="3837"/>
        <item x="3747"/>
        <item x="3828"/>
        <item x="3625"/>
        <item x="3736"/>
        <item x="1783"/>
        <item x="3748"/>
        <item x="1896"/>
        <item x="3622"/>
        <item x="1985"/>
        <item x="3628"/>
        <item x="1785"/>
        <item x="1869"/>
        <item x="3669"/>
        <item x="3627"/>
        <item x="1752"/>
        <item x="1837"/>
        <item x="3746"/>
        <item x="3835"/>
        <item x="1802"/>
        <item x="3771"/>
        <item x="3833"/>
        <item x="3624"/>
        <item x="1839"/>
        <item x="3843"/>
        <item x="1858"/>
        <item x="3836"/>
        <item x="1750"/>
        <item x="3629"/>
        <item x="3738"/>
        <item x="1904"/>
        <item x="3621"/>
        <item x="3670"/>
        <item x="3667"/>
        <item x="1906"/>
        <item x="3668"/>
        <item x="1751"/>
        <item x="1855"/>
        <item x="3744"/>
        <item x="3739"/>
        <item x="3737"/>
        <item x="3745"/>
        <item x="3620"/>
        <item x="3830"/>
        <item x="3841"/>
        <item x="3831"/>
        <item x="1895"/>
        <item x="3842"/>
        <item x="3619"/>
        <item x="3838"/>
        <item x="3742"/>
        <item x="1808"/>
        <item x="3666"/>
        <item x="1894"/>
        <item x="3743"/>
        <item x="3611"/>
        <item x="3741"/>
        <item x="3840"/>
        <item x="3740"/>
        <item x="3807"/>
        <item x="3839"/>
        <item x="3844"/>
        <item x="3630"/>
        <item x="1984"/>
        <item x="3806"/>
        <item x="3803"/>
        <item x="3671"/>
        <item x="3805"/>
        <item x="3617"/>
        <item x="1856"/>
        <item x="1801"/>
        <item x="3804"/>
        <item x="1836"/>
        <item x="3618"/>
        <item x="3808"/>
        <item x="3612"/>
        <item x="1789"/>
        <item x="1905"/>
        <item x="3809"/>
        <item x="1963"/>
        <item x="3613"/>
        <item x="1887"/>
        <item x="1843"/>
        <item x="3631"/>
        <item x="1792"/>
        <item x="3615"/>
        <item x="3614"/>
        <item x="3616"/>
        <item x="3639"/>
        <item x="1907"/>
        <item x="1900"/>
        <item x="3634"/>
        <item x="3642"/>
        <item x="1903"/>
        <item x="1788"/>
        <item x="1889"/>
        <item x="1857"/>
        <item x="3638"/>
        <item x="3672"/>
        <item x="1799"/>
        <item x="3641"/>
        <item x="1840"/>
        <item x="3632"/>
        <item x="1854"/>
        <item x="3636"/>
        <item x="3705"/>
        <item x="3637"/>
        <item x="3635"/>
        <item x="3643"/>
        <item x="1888"/>
        <item x="1966"/>
        <item x="3633"/>
        <item x="3817"/>
        <item x="1893"/>
        <item x="3816"/>
        <item x="1964"/>
        <item x="3640"/>
        <item x="1899"/>
        <item x="1884"/>
        <item x="3720"/>
        <item x="1910"/>
        <item x="3663"/>
        <item x="1853"/>
        <item x="3810"/>
        <item x="1909"/>
        <item x="3845"/>
        <item x="1841"/>
        <item x="3811"/>
        <item x="3802"/>
        <item x="3715"/>
        <item x="1962"/>
        <item x="3827"/>
        <item x="1885"/>
        <item x="3796"/>
        <item x="3706"/>
        <item x="3661"/>
        <item x="1902"/>
        <item x="3799"/>
        <item x="1908"/>
        <item x="3665"/>
        <item x="1901"/>
        <item x="3660"/>
        <item x="1874"/>
        <item x="3644"/>
        <item x="3722"/>
        <item x="3815"/>
        <item x="3719"/>
        <item x="3798"/>
        <item x="1842"/>
        <item x="3656"/>
        <item x="3676"/>
        <item x="1886"/>
        <item x="3662"/>
        <item x="1870"/>
        <item x="3801"/>
        <item x="3814"/>
        <item x="1873"/>
        <item x="3673"/>
        <item x="3795"/>
        <item x="1844"/>
        <item x="1790"/>
        <item x="1898"/>
        <item x="3716"/>
        <item x="3649"/>
        <item x="3780"/>
        <item x="1845"/>
        <item x="3818"/>
        <item x="1879"/>
        <item x="3714"/>
        <item x="1793"/>
        <item x="3659"/>
        <item x="1915"/>
        <item x="3721"/>
        <item x="3657"/>
        <item x="1967"/>
        <item x="3658"/>
        <item x="3713"/>
        <item x="3645"/>
        <item x="3674"/>
        <item x="1791"/>
        <item x="3650"/>
        <item x="1897"/>
        <item x="3654"/>
        <item x="3789"/>
        <item x="1911"/>
        <item x="3718"/>
        <item x="3797"/>
        <item x="3675"/>
        <item x="1846"/>
        <item x="3846"/>
        <item x="1796"/>
        <item x="3812"/>
        <item x="3704"/>
        <item x="3651"/>
        <item x="1965"/>
        <item x="3648"/>
        <item x="3800"/>
        <item x="3824"/>
        <item x="3822"/>
        <item x="3847"/>
        <item x="3646"/>
        <item x="3664"/>
        <item x="3848"/>
        <item x="3820"/>
        <item x="1848"/>
        <item x="3647"/>
        <item x="1890"/>
        <item x="3794"/>
        <item x="3791"/>
        <item x="1891"/>
        <item x="3819"/>
        <item x="3850"/>
        <item x="3702"/>
        <item x="1960"/>
        <item x="3793"/>
        <item x="1877"/>
        <item x="3677"/>
        <item x="1880"/>
        <item x="3725"/>
        <item x="3712"/>
        <item x="1795"/>
        <item x="3653"/>
        <item x="3655"/>
        <item x="1847"/>
        <item x="3849"/>
        <item x="1798"/>
        <item x="3723"/>
        <item x="1892"/>
        <item x="3703"/>
        <item x="3724"/>
        <item x="1849"/>
        <item x="3717"/>
        <item x="3854"/>
        <item x="3792"/>
        <item x="3826"/>
        <item x="3813"/>
        <item x="1797"/>
        <item x="1872"/>
        <item x="3825"/>
        <item x="3823"/>
        <item x="1852"/>
        <item x="3782"/>
        <item x="3781"/>
        <item x="1961"/>
        <item x="1912"/>
        <item x="3788"/>
        <item x="3678"/>
        <item x="3711"/>
        <item x="1794"/>
        <item x="3693"/>
        <item x="1876"/>
        <item x="3851"/>
        <item x="3652"/>
        <item x="1878"/>
        <item x="3821"/>
        <item x="1972"/>
        <item x="3679"/>
        <item x="3787"/>
        <item x="3692"/>
        <item x="3779"/>
        <item x="3790"/>
        <item x="3852"/>
        <item x="3783"/>
        <item x="1871"/>
        <item x="3707"/>
        <item x="1973"/>
        <item x="3701"/>
        <item x="1914"/>
        <item x="3694"/>
        <item x="3853"/>
        <item x="1968"/>
        <item x="3695"/>
        <item x="3680"/>
        <item x="3772"/>
        <item x="3710"/>
        <item x="1875"/>
        <item x="3691"/>
        <item x="3786"/>
        <item x="3773"/>
        <item x="1883"/>
        <item x="1913"/>
        <item x="3698"/>
        <item x="3709"/>
        <item x="1881"/>
        <item x="3690"/>
        <item x="3778"/>
        <item x="3785"/>
        <item x="1916"/>
        <item x="3700"/>
        <item x="4003"/>
        <item x="3708"/>
        <item x="3697"/>
        <item x="3696"/>
        <item x="3776"/>
        <item x="3777"/>
        <item x="3682"/>
        <item x="1974"/>
        <item x="3681"/>
        <item x="3784"/>
        <item x="3689"/>
        <item x="3685"/>
        <item x="1882"/>
        <item x="1959"/>
        <item x="3699"/>
        <item x="3684"/>
        <item x="3683"/>
        <item x="1948"/>
        <item x="1971"/>
        <item x="3775"/>
        <item x="1947"/>
        <item x="3774"/>
        <item x="1851"/>
        <item x="3922"/>
        <item x="1958"/>
        <item x="1917"/>
        <item x="1946"/>
        <item x="3921"/>
        <item x="4004"/>
        <item x="3688"/>
        <item x="3687"/>
        <item x="3686"/>
        <item x="1945"/>
        <item x="3924"/>
        <item x="3923"/>
        <item x="1850"/>
        <item x="3974"/>
        <item x="1957"/>
        <item x="3999"/>
        <item x="3972"/>
        <item x="3971"/>
        <item x="3975"/>
        <item x="1956"/>
        <item x="1969"/>
        <item x="3987"/>
        <item x="3977"/>
        <item x="4000"/>
        <item x="3998"/>
        <item x="3920"/>
        <item x="3985"/>
        <item x="3976"/>
        <item x="1950"/>
        <item x="3912"/>
        <item x="1970"/>
        <item x="3983"/>
        <item x="4005"/>
        <item x="3910"/>
        <item x="3973"/>
        <item x="3986"/>
        <item x="1943"/>
        <item x="3911"/>
        <item x="3984"/>
        <item x="3934"/>
        <item x="3970"/>
        <item x="3909"/>
        <item x="3978"/>
        <item x="3939"/>
        <item x="3979"/>
        <item x="3981"/>
        <item x="3925"/>
        <item x="4007"/>
        <item x="4006"/>
        <item x="3930"/>
        <item x="4001"/>
        <item x="3915"/>
        <item x="3933"/>
        <item x="3931"/>
        <item x="1975"/>
        <item x="4008"/>
        <item x="1944"/>
        <item x="3969"/>
        <item x="1949"/>
        <item x="3997"/>
        <item x="3980"/>
        <item x="3988"/>
        <item x="3996"/>
        <item x="1976"/>
        <item x="3907"/>
        <item x="3940"/>
        <item x="1982"/>
        <item x="3967"/>
        <item x="3914"/>
        <item x="1951"/>
        <item x="3928"/>
        <item x="3982"/>
        <item x="1942"/>
        <item x="3990"/>
        <item x="4002"/>
        <item x="1955"/>
        <item x="3938"/>
        <item x="1979"/>
        <item x="3995"/>
        <item x="3941"/>
        <item x="3916"/>
        <item x="3932"/>
        <item x="3968"/>
        <item x="3989"/>
        <item x="3994"/>
        <item x="1980"/>
        <item x="3919"/>
        <item x="3903"/>
        <item x="3927"/>
        <item x="3913"/>
        <item x="3905"/>
        <item x="3991"/>
        <item x="3904"/>
        <item x="3937"/>
        <item x="3926"/>
        <item x="3993"/>
        <item x="3935"/>
        <item x="4009"/>
        <item x="3860"/>
        <item x="3929"/>
        <item x="3906"/>
        <item x="3870"/>
        <item x="3992"/>
        <item x="3855"/>
        <item x="1937"/>
        <item x="3936"/>
        <item x="3872"/>
        <item x="1941"/>
        <item x="3942"/>
        <item x="4014"/>
        <item x="3908"/>
        <item x="1983"/>
        <item x="3943"/>
        <item x="4010"/>
        <item x="3861"/>
        <item x="1952"/>
        <item x="1953"/>
        <item x="3869"/>
        <item x="3859"/>
        <item x="3946"/>
        <item x="1940"/>
        <item x="3867"/>
        <item x="3951"/>
        <item x="3944"/>
        <item x="1981"/>
        <item x="3868"/>
        <item x="3857"/>
        <item x="4012"/>
        <item x="4011"/>
        <item x="3871"/>
        <item x="3873"/>
        <item x="3947"/>
        <item x="1938"/>
        <item x="3876"/>
        <item x="3874"/>
        <item x="4013"/>
        <item x="3949"/>
        <item x="3858"/>
        <item x="3902"/>
        <item x="3886"/>
        <item x="3948"/>
        <item x="3891"/>
        <item x="3862"/>
        <item x="3866"/>
        <item x="3875"/>
        <item x="3880"/>
        <item x="3950"/>
        <item x="1918"/>
        <item x="3856"/>
        <item x="3959"/>
        <item x="3877"/>
        <item x="3864"/>
        <item x="3863"/>
        <item x="3958"/>
        <item x="3957"/>
        <item x="3955"/>
        <item x="3960"/>
        <item x="3945"/>
        <item x="1936"/>
        <item x="3918"/>
        <item x="3900"/>
        <item x="3892"/>
        <item x="3865"/>
        <item x="1954"/>
        <item x="3884"/>
        <item x="1933"/>
        <item x="3901"/>
        <item x="3917"/>
        <item x="3956"/>
        <item x="3887"/>
        <item x="3888"/>
        <item x="3879"/>
        <item x="3878"/>
        <item x="3952"/>
        <item x="3885"/>
        <item x="3893"/>
        <item x="3961"/>
        <item x="3954"/>
        <item x="3899"/>
        <item x="3953"/>
        <item x="3965"/>
        <item x="3962"/>
        <item x="3895"/>
        <item x="3890"/>
        <item x="1934"/>
        <item x="3966"/>
        <item x="3883"/>
        <item x="4015"/>
        <item x="3882"/>
        <item x="3894"/>
        <item x="1978"/>
        <item x="3881"/>
        <item x="1977"/>
        <item x="3896"/>
        <item x="1935"/>
        <item x="3889"/>
        <item x="4019"/>
        <item x="4020"/>
        <item x="4049"/>
        <item x="3898"/>
        <item x="1931"/>
        <item x="1921"/>
        <item x="3964"/>
        <item x="3963"/>
        <item x="4048"/>
        <item x="3897"/>
        <item x="4016"/>
        <item x="4022"/>
        <item x="4021"/>
        <item x="4017"/>
        <item x="4018"/>
        <item x="4053"/>
        <item x="1919"/>
        <item x="4056"/>
        <item x="1932"/>
        <item x="4065"/>
        <item x="4052"/>
        <item x="4023"/>
        <item x="4047"/>
        <item x="4064"/>
        <item x="4050"/>
        <item x="4066"/>
        <item x="4059"/>
        <item x="4051"/>
        <item x="4024"/>
        <item x="4057"/>
        <item x="4058"/>
        <item x="4046"/>
        <item x="4032"/>
        <item x="4042"/>
        <item x="4067"/>
        <item x="4033"/>
        <item x="4043"/>
        <item x="4034"/>
        <item x="4044"/>
        <item x="4035"/>
        <item x="1920"/>
        <item x="4060"/>
        <item x="1939"/>
        <item x="4045"/>
        <item x="4036"/>
        <item x="4061"/>
        <item x="4054"/>
        <item x="4062"/>
        <item x="4055"/>
        <item x="4037"/>
        <item x="1922"/>
        <item x="4030"/>
        <item x="4038"/>
        <item x="4025"/>
        <item x="4028"/>
        <item x="4040"/>
        <item x="4063"/>
        <item x="4026"/>
        <item x="4041"/>
        <item x="4031"/>
        <item x="4039"/>
        <item x="4027"/>
        <item x="1930"/>
        <item x="4029"/>
        <item x="1929"/>
        <item x="4082"/>
        <item x="4078"/>
        <item x="1924"/>
        <item x="1926"/>
        <item x="1923"/>
        <item x="1928"/>
        <item x="4084"/>
        <item x="1927"/>
        <item x="4083"/>
        <item x="4095"/>
        <item x="4077"/>
        <item x="4096"/>
        <item x="4076"/>
        <item x="1925"/>
        <item x="4085"/>
        <item x="4068"/>
        <item x="4075"/>
        <item x="4073"/>
        <item x="4074"/>
        <item x="4098"/>
        <item x="4072"/>
        <item x="4081"/>
        <item x="4097"/>
        <item x="4094"/>
        <item x="4087"/>
        <item x="4090"/>
        <item x="4079"/>
        <item x="4080"/>
        <item x="4091"/>
        <item x="4092"/>
        <item x="4071"/>
        <item x="4086"/>
        <item x="4088"/>
        <item x="4070"/>
        <item x="4069"/>
        <item x="4100"/>
        <item x="4093"/>
        <item x="4089"/>
        <item x="4099"/>
        <item x="4101"/>
        <item x="4114"/>
        <item x="4102"/>
        <item x="4106"/>
        <item x="4122"/>
        <item x="4121"/>
        <item x="4105"/>
        <item x="4119"/>
        <item x="4117"/>
        <item x="4116"/>
        <item x="4104"/>
        <item x="4120"/>
        <item x="4123"/>
        <item x="4115"/>
        <item x="4113"/>
        <item x="4124"/>
        <item x="4103"/>
        <item x="4112"/>
        <item x="4132"/>
        <item x="4118"/>
        <item x="4110"/>
        <item x="4111"/>
        <item x="4135"/>
        <item x="4134"/>
        <item x="4125"/>
        <item x="4108"/>
        <item x="4109"/>
        <item x="4131"/>
        <item x="4107"/>
        <item x="4133"/>
        <item x="4126"/>
        <item x="4146"/>
        <item x="4137"/>
        <item x="4148"/>
        <item x="4136"/>
        <item x="4159"/>
        <item x="4145"/>
        <item x="4149"/>
        <item x="4127"/>
        <item x="4144"/>
        <item x="4150"/>
        <item x="4155"/>
        <item x="4143"/>
        <item x="4141"/>
        <item x="4140"/>
        <item x="4139"/>
        <item x="4142"/>
        <item x="4157"/>
        <item x="4130"/>
        <item x="4154"/>
        <item x="4138"/>
        <item x="4152"/>
        <item x="4156"/>
        <item x="4158"/>
        <item x="4153"/>
        <item x="4147"/>
        <item x="4174"/>
        <item x="4161"/>
        <item x="4151"/>
        <item x="4160"/>
        <item x="4176"/>
        <item x="4162"/>
        <item x="4129"/>
        <item x="4173"/>
        <item x="4163"/>
        <item x="4175"/>
        <item x="4164"/>
        <item x="4172"/>
        <item x="4177"/>
        <item x="4171"/>
        <item x="4167"/>
        <item x="4169"/>
        <item x="4170"/>
        <item x="4165"/>
        <item x="4168"/>
        <item x="4128"/>
        <item x="4166"/>
        <item x="4178"/>
        <item x="4194"/>
        <item x="4179"/>
        <item x="4196"/>
        <item x="4195"/>
        <item x="4181"/>
        <item x="4180"/>
        <item x="4225"/>
        <item x="4182"/>
        <item x="4192"/>
        <item x="4193"/>
        <item x="4197"/>
        <item x="4183"/>
        <item x="4223"/>
        <item x="4226"/>
        <item x="4198"/>
        <item x="4199"/>
        <item x="4187"/>
        <item x="4224"/>
        <item x="4189"/>
        <item x="4188"/>
        <item x="4190"/>
        <item x="4186"/>
        <item x="4221"/>
        <item x="4185"/>
        <item x="4191"/>
        <item x="4184"/>
        <item x="4227"/>
        <item x="4200"/>
        <item x="4211"/>
        <item x="4222"/>
        <item x="4203"/>
        <item x="4214"/>
        <item x="4217"/>
        <item x="4201"/>
        <item x="4228"/>
        <item x="4229"/>
        <item x="4215"/>
        <item x="4204"/>
        <item x="4218"/>
        <item x="4213"/>
        <item x="4210"/>
        <item x="4202"/>
        <item x="4220"/>
        <item x="4212"/>
        <item x="4216"/>
        <item x="4230"/>
        <item x="4219"/>
        <item x="4251"/>
        <item x="4205"/>
        <item x="4231"/>
        <item x="4209"/>
        <item x="4246"/>
        <item x="4245"/>
        <item x="4206"/>
        <item x="4208"/>
        <item x="4248"/>
        <item x="4250"/>
        <item x="4256"/>
        <item x="4252"/>
        <item x="4207"/>
        <item x="4244"/>
        <item x="4247"/>
        <item x="4258"/>
        <item x="4243"/>
        <item x="4257"/>
        <item x="4232"/>
        <item x="4249"/>
        <item x="4259"/>
        <item x="4260"/>
        <item x="4242"/>
        <item x="4261"/>
        <item x="4241"/>
        <item x="4254"/>
        <item x="4278"/>
        <item x="4234"/>
        <item x="4233"/>
        <item x="4266"/>
        <item x="4253"/>
        <item x="4238"/>
        <item x="4265"/>
        <item x="4255"/>
        <item x="4237"/>
        <item x="4279"/>
        <item x="4235"/>
        <item x="4280"/>
        <item x="4264"/>
        <item x="4268"/>
        <item x="4262"/>
        <item x="4240"/>
        <item x="4239"/>
        <item x="4276"/>
        <item x="4236"/>
        <item x="4283"/>
        <item x="4267"/>
        <item x="4277"/>
        <item x="4281"/>
        <item x="4282"/>
        <item x="4270"/>
        <item x="4284"/>
        <item x="4269"/>
        <item x="4263"/>
        <item x="4275"/>
        <item x="4273"/>
        <item x="4271"/>
        <item x="4272"/>
        <item x="4274"/>
        <item x="4285"/>
        <item x="4286"/>
        <item x="4287"/>
        <item x="4288"/>
        <item x="4289"/>
        <item x="4290"/>
        <item x="4292"/>
        <item x="4293"/>
        <item x="4291"/>
        <item x="4294"/>
        <item x="4298"/>
        <item x="4299"/>
        <item x="4295"/>
        <item x="4296"/>
        <item x="4297"/>
        <item x="4322"/>
        <item x="4323"/>
        <item x="4313"/>
        <item x="4325"/>
        <item x="4314"/>
        <item x="4324"/>
        <item x="4311"/>
        <item x="4316"/>
        <item x="4302"/>
        <item x="4312"/>
        <item x="4317"/>
        <item x="4319"/>
        <item x="4315"/>
        <item x="4300"/>
        <item x="4309"/>
        <item x="4301"/>
        <item x="4310"/>
        <item x="4303"/>
        <item x="4308"/>
        <item x="4304"/>
        <item x="4326"/>
        <item x="4320"/>
        <item x="4321"/>
        <item x="4306"/>
        <item x="4305"/>
        <item x="4307"/>
        <item x="4330"/>
        <item x="4318"/>
        <item x="4367"/>
        <item x="4327"/>
        <item x="4329"/>
        <item x="4337"/>
        <item x="4335"/>
        <item x="4336"/>
        <item x="4334"/>
        <item x="4340"/>
        <item x="4328"/>
        <item x="4338"/>
        <item x="4339"/>
        <item x="4333"/>
        <item x="4341"/>
        <item x="4342"/>
        <item x="4332"/>
        <item x="4331"/>
        <item x="4343"/>
        <item x="4396"/>
        <item x="4347"/>
        <item x="4364"/>
        <item x="4348"/>
        <item x="4368"/>
        <item x="4344"/>
        <item x="4346"/>
        <item x="4345"/>
        <item x="4350"/>
        <item x="4401"/>
        <item x="4369"/>
        <item x="4399"/>
        <item x="4398"/>
        <item x="4349"/>
        <item x="4366"/>
        <item x="4402"/>
        <item x="4395"/>
        <item x="4370"/>
        <item x="4353"/>
        <item x="4352"/>
        <item x="4351"/>
        <item x="4404"/>
        <item x="4405"/>
        <item x="4371"/>
        <item x="4400"/>
        <item x="4365"/>
        <item x="4375"/>
        <item x="4354"/>
        <item x="4376"/>
        <item x="4363"/>
        <item x="4356"/>
        <item x="4407"/>
        <item x="4355"/>
        <item x="4373"/>
        <item x="4417"/>
        <item x="4357"/>
        <item x="4403"/>
        <item x="4394"/>
        <item x="4372"/>
        <item x="4374"/>
        <item x="4360"/>
        <item x="4380"/>
        <item x="4406"/>
        <item x="4392"/>
        <item x="4381"/>
        <item x="4409"/>
        <item x="4416"/>
        <item x="4393"/>
        <item x="4383"/>
        <item x="4420"/>
        <item x="4419"/>
        <item x="4408"/>
        <item x="4382"/>
        <item x="4379"/>
        <item x="4397"/>
        <item x="4389"/>
        <item x="4384"/>
        <item x="4359"/>
        <item x="4358"/>
        <item x="4421"/>
        <item x="4576"/>
        <item x="4410"/>
        <item x="4390"/>
        <item x="4378"/>
        <item x="4362"/>
        <item x="4388"/>
        <item x="4385"/>
        <item x="4391"/>
        <item x="4414"/>
        <item x="4361"/>
        <item x="4422"/>
        <item x="4415"/>
        <item x="4377"/>
        <item x="4424"/>
        <item x="4418"/>
        <item x="4411"/>
        <item x="4413"/>
        <item x="4431"/>
        <item x="4423"/>
        <item x="4432"/>
        <item x="4412"/>
        <item x="4386"/>
        <item x="4387"/>
        <item x="4425"/>
        <item x="4430"/>
        <item x="4429"/>
        <item x="4582"/>
        <item x="4434"/>
        <item x="4458"/>
        <item x="4433"/>
        <item x="4427"/>
        <item x="4426"/>
        <item x="4438"/>
        <item x="4428"/>
        <item x="4575"/>
        <item x="4436"/>
        <item x="4437"/>
        <item x="4456"/>
        <item x="4460"/>
        <item x="4459"/>
        <item x="4435"/>
        <item x="4440"/>
        <item x="4439"/>
        <item x="4462"/>
        <item x="4457"/>
        <item x="4463"/>
        <item x="4461"/>
        <item x="4451"/>
        <item x="4579"/>
        <item x="4455"/>
        <item x="4577"/>
        <item x="4441"/>
        <item x="4449"/>
        <item x="4452"/>
        <item x="4445"/>
        <item x="4447"/>
        <item x="4581"/>
        <item x="4454"/>
        <item x="4464"/>
        <item x="4578"/>
        <item x="4448"/>
        <item x="4450"/>
        <item x="4574"/>
        <item x="4580"/>
        <item x="4446"/>
        <item x="4442"/>
        <item x="4554"/>
        <item x="4465"/>
        <item x="4453"/>
        <item x="4583"/>
        <item x="4467"/>
        <item x="4588"/>
        <item x="4584"/>
        <item x="4466"/>
        <item x="4443"/>
        <item x="4538"/>
        <item x="4444"/>
        <item x="4601"/>
        <item x="4585"/>
        <item x="4571"/>
        <item x="4598"/>
        <item x="4556"/>
        <item x="4555"/>
        <item x="4587"/>
        <item x="4573"/>
        <item x="4542"/>
        <item x="4541"/>
        <item x="4572"/>
        <item x="4468"/>
        <item x="4586"/>
        <item x="4473"/>
        <item x="4600"/>
        <item x="4553"/>
        <item x="4565"/>
        <item x="4470"/>
        <item x="4550"/>
        <item x="4589"/>
        <item x="4597"/>
        <item x="4472"/>
        <item x="4606"/>
        <item x="4604"/>
        <item x="4480"/>
        <item x="4590"/>
        <item x="4469"/>
        <item x="4605"/>
        <item x="4593"/>
        <item x="4602"/>
        <item x="4529"/>
        <item x="4544"/>
        <item x="4471"/>
        <item x="4495"/>
        <item x="4570"/>
        <item x="4481"/>
        <item x="4591"/>
        <item x="4528"/>
        <item x="4595"/>
        <item x="4474"/>
        <item x="4482"/>
        <item x="4599"/>
        <item x="4557"/>
        <item x="4594"/>
        <item x="4543"/>
        <item x="4494"/>
        <item x="4607"/>
        <item x="4608"/>
        <item x="4549"/>
        <item x="4540"/>
        <item x="4496"/>
        <item x="4558"/>
        <item x="4611"/>
        <item x="4596"/>
        <item x="4603"/>
        <item x="4551"/>
        <item x="4545"/>
        <item x="4497"/>
        <item x="4483"/>
        <item x="4493"/>
        <item x="4566"/>
        <item x="4531"/>
        <item x="4492"/>
        <item x="4476"/>
        <item x="4479"/>
        <item x="4592"/>
        <item x="4546"/>
        <item x="4475"/>
        <item x="4484"/>
        <item x="4537"/>
        <item x="4485"/>
        <item x="4610"/>
        <item x="4490"/>
        <item x="4609"/>
        <item x="4552"/>
        <item x="4539"/>
        <item x="4498"/>
        <item x="4505"/>
        <item x="4534"/>
        <item x="4563"/>
        <item x="4567"/>
        <item x="4535"/>
        <item x="4506"/>
        <item x="4486"/>
        <item x="4489"/>
        <item x="4568"/>
        <item x="4564"/>
        <item x="4507"/>
        <item x="4612"/>
        <item x="4569"/>
        <item x="4487"/>
        <item x="4491"/>
        <item x="4530"/>
        <item x="4499"/>
        <item x="4478"/>
        <item x="4536"/>
        <item x="4488"/>
        <item x="4560"/>
        <item x="4500"/>
        <item x="4619"/>
        <item x="4620"/>
        <item x="4533"/>
        <item x="4477"/>
        <item x="4526"/>
        <item x="4561"/>
        <item x="4613"/>
        <item x="4532"/>
        <item x="4559"/>
        <item x="4508"/>
        <item x="4614"/>
        <item x="4513"/>
        <item x="4504"/>
        <item x="4548"/>
        <item x="4502"/>
        <item x="4547"/>
        <item x="4501"/>
        <item x="4617"/>
        <item x="4562"/>
        <item x="4525"/>
        <item x="4511"/>
        <item x="4616"/>
        <item x="4527"/>
        <item x="4503"/>
        <item x="4615"/>
        <item x="4618"/>
        <item x="4524"/>
        <item x="4621"/>
        <item x="4509"/>
        <item x="4512"/>
        <item x="4510"/>
        <item x="4514"/>
        <item x="4622"/>
        <item x="4518"/>
        <item x="4515"/>
        <item x="4520"/>
        <item x="4519"/>
        <item x="4517"/>
        <item x="4623"/>
        <item x="4624"/>
        <item x="4516"/>
        <item x="4522"/>
        <item x="4523"/>
        <item x="4521"/>
        <item x="4625"/>
        <item x="4633"/>
        <item x="4634"/>
        <item x="4630"/>
        <item x="4628"/>
        <item x="4626"/>
        <item x="4627"/>
        <item x="4631"/>
        <item x="4632"/>
        <item x="4635"/>
        <item x="4636"/>
        <item x="4637"/>
        <item x="4642"/>
        <item x="4639"/>
        <item x="4679"/>
        <item x="4640"/>
        <item x="4641"/>
        <item x="4638"/>
        <item x="4643"/>
        <item x="4629"/>
        <item x="4644"/>
        <item x="4647"/>
        <item x="4645"/>
        <item x="4646"/>
        <item x="4648"/>
        <item x="4680"/>
        <item x="4665"/>
        <item x="4649"/>
        <item x="4678"/>
        <item x="4650"/>
        <item x="4666"/>
        <item x="4676"/>
        <item x="4652"/>
        <item x="4651"/>
        <item x="4663"/>
        <item x="4662"/>
        <item x="4661"/>
        <item x="4677"/>
        <item x="4681"/>
        <item x="4667"/>
        <item x="4675"/>
        <item x="4673"/>
        <item x="4658"/>
        <item x="4670"/>
        <item x="4674"/>
        <item x="4671"/>
        <item x="4664"/>
        <item x="4672"/>
        <item x="4682"/>
        <item x="4657"/>
        <item x="4669"/>
        <item x="4660"/>
        <item x="4659"/>
        <item x="4668"/>
        <item x="4653"/>
        <item x="4655"/>
        <item x="4654"/>
        <item x="4656"/>
        <item x="4683"/>
        <item x="4686"/>
        <item x="4685"/>
        <item x="4721"/>
        <item x="4687"/>
        <item x="4688"/>
        <item x="4684"/>
        <item x="4689"/>
        <item x="4734"/>
        <item x="4695"/>
        <item x="4729"/>
        <item x="4696"/>
        <item x="4698"/>
        <item x="4728"/>
        <item x="4697"/>
        <item x="4760"/>
        <item x="4722"/>
        <item x="4690"/>
        <item x="4723"/>
        <item x="4869"/>
        <item x="4735"/>
        <item x="4737"/>
        <item x="4763"/>
        <item x="4699"/>
        <item x="4691"/>
        <item x="4736"/>
        <item x="4726"/>
        <item x="4874"/>
        <item x="4740"/>
        <item x="4745"/>
        <item x="4746"/>
        <item x="4730"/>
        <item x="4709"/>
        <item x="4761"/>
        <item x="4748"/>
        <item x="4771"/>
        <item x="4710"/>
        <item x="4704"/>
        <item x="4700"/>
        <item x="4711"/>
        <item x="4720"/>
        <item x="4692"/>
        <item x="4703"/>
        <item x="4693"/>
        <item x="4702"/>
        <item x="4759"/>
        <item x="4708"/>
        <item x="4762"/>
        <item x="4772"/>
        <item x="4732"/>
        <item x="4747"/>
        <item x="4873"/>
        <item x="4754"/>
        <item x="4749"/>
        <item x="4770"/>
        <item x="4701"/>
        <item x="4744"/>
        <item x="4741"/>
        <item x="4725"/>
        <item x="4757"/>
        <item x="4694"/>
        <item x="4705"/>
        <item x="4739"/>
        <item x="4719"/>
        <item x="4738"/>
        <item x="4764"/>
        <item x="4706"/>
        <item x="4731"/>
        <item x="4712"/>
        <item x="4750"/>
        <item x="4727"/>
        <item x="4733"/>
        <item x="4724"/>
        <item x="4707"/>
        <item x="4758"/>
        <item x="4867"/>
        <item x="4743"/>
        <item x="4753"/>
        <item x="4713"/>
        <item x="4755"/>
        <item x="4752"/>
        <item x="4756"/>
        <item x="4766"/>
        <item x="4765"/>
        <item x="4769"/>
        <item x="4773"/>
        <item x="4742"/>
        <item x="4715"/>
        <item x="4718"/>
        <item x="4871"/>
        <item x="4768"/>
        <item x="4714"/>
        <item x="4774"/>
        <item x="4717"/>
        <item x="4751"/>
        <item x="4716"/>
        <item x="4767"/>
        <item x="4872"/>
        <item x="4776"/>
        <item x="4778"/>
        <item x="4779"/>
        <item x="4782"/>
        <item x="4775"/>
        <item x="4783"/>
        <item x="4781"/>
        <item x="4780"/>
        <item x="4777"/>
        <item x="4784"/>
        <item x="4785"/>
        <item x="4870"/>
        <item x="4876"/>
        <item x="4786"/>
        <item x="4787"/>
        <item x="4788"/>
        <item x="4875"/>
        <item x="4800"/>
        <item x="4793"/>
        <item x="4799"/>
        <item x="4794"/>
        <item x="4792"/>
        <item x="4878"/>
        <item x="4801"/>
        <item x="4802"/>
        <item x="4789"/>
        <item x="4790"/>
        <item x="4791"/>
        <item x="4864"/>
        <item x="4805"/>
        <item x="4795"/>
        <item x="4804"/>
        <item x="4798"/>
        <item x="4806"/>
        <item x="4803"/>
        <item x="4796"/>
        <item x="4881"/>
        <item x="4797"/>
        <item x="4807"/>
        <item x="4866"/>
        <item x="4883"/>
        <item x="4811"/>
        <item x="4808"/>
        <item x="4810"/>
        <item x="4882"/>
        <item x="4809"/>
        <item x="4812"/>
        <item x="4877"/>
        <item x="4814"/>
        <item x="4813"/>
        <item x="4822"/>
        <item x="4817"/>
        <item x="4818"/>
        <item x="4880"/>
        <item x="4857"/>
        <item x="4820"/>
        <item x="4815"/>
        <item x="4868"/>
        <item x="4816"/>
        <item x="4821"/>
        <item x="4823"/>
        <item x="4879"/>
        <item x="4819"/>
        <item x="4865"/>
        <item x="4825"/>
        <item x="4863"/>
        <item x="4858"/>
        <item x="4824"/>
        <item x="4827"/>
        <item x="4835"/>
        <item x="4828"/>
        <item x="4826"/>
        <item x="4885"/>
        <item x="4860"/>
        <item x="4834"/>
        <item x="4886"/>
        <item x="4887"/>
        <item x="4884"/>
        <item x="4836"/>
        <item x="4888"/>
        <item x="4832"/>
        <item x="4829"/>
        <item x="4862"/>
        <item x="4831"/>
        <item x="4833"/>
        <item x="4830"/>
        <item x="4894"/>
        <item x="4837"/>
        <item x="4855"/>
        <item x="4899"/>
        <item x="4856"/>
        <item x="4839"/>
        <item x="4861"/>
        <item x="4854"/>
        <item x="4896"/>
        <item x="4890"/>
        <item x="4838"/>
        <item x="4859"/>
        <item x="4895"/>
        <item x="4889"/>
        <item x="4898"/>
        <item x="4840"/>
        <item x="4897"/>
        <item x="4902"/>
        <item x="4893"/>
        <item x="4891"/>
        <item x="4900"/>
        <item x="4853"/>
        <item x="4892"/>
        <item x="4903"/>
        <item x="4901"/>
        <item x="4910"/>
        <item x="4842"/>
        <item x="4841"/>
        <item x="4911"/>
        <item x="4904"/>
        <item x="4919"/>
        <item x="4917"/>
        <item x="4918"/>
        <item x="4909"/>
        <item x="4905"/>
        <item x="4921"/>
        <item x="4923"/>
        <item x="4912"/>
        <item x="4920"/>
        <item x="4915"/>
        <item x="4916"/>
        <item x="4906"/>
        <item x="4843"/>
        <item x="4848"/>
        <item x="4844"/>
        <item x="4852"/>
        <item x="4846"/>
        <item x="4907"/>
        <item x="4847"/>
        <item x="4913"/>
        <item x="4849"/>
        <item x="4922"/>
        <item x="4914"/>
        <item x="4928"/>
        <item x="4908"/>
        <item x="4924"/>
        <item x="4850"/>
        <item x="4851"/>
        <item x="4929"/>
        <item x="4925"/>
        <item x="4845"/>
        <item x="4930"/>
        <item x="4926"/>
        <item x="4931"/>
        <item x="4932"/>
        <item x="4934"/>
        <item x="4933"/>
        <item x="4939"/>
        <item x="4927"/>
        <item x="4937"/>
        <item x="4940"/>
        <item x="4938"/>
        <item x="4996"/>
        <item x="4935"/>
        <item x="4998"/>
        <item x="4958"/>
        <item x="4936"/>
        <item x="4960"/>
        <item x="5025"/>
        <item x="5024"/>
        <item x="4957"/>
        <item x="4988"/>
        <item x="5022"/>
        <item x="4953"/>
        <item x="4995"/>
        <item x="4999"/>
        <item x="4969"/>
        <item x="4941"/>
        <item x="4959"/>
        <item x="4962"/>
        <item x="4952"/>
        <item x="4991"/>
        <item x="4961"/>
        <item x="4942"/>
        <item x="5023"/>
        <item x="4963"/>
        <item x="4994"/>
        <item x="4990"/>
        <item x="4992"/>
        <item x="5007"/>
        <item x="5005"/>
        <item x="4943"/>
        <item x="5026"/>
        <item x="4949"/>
        <item x="5002"/>
        <item x="4997"/>
        <item x="5000"/>
        <item x="4951"/>
        <item x="4945"/>
        <item x="4950"/>
        <item x="4971"/>
        <item x="4955"/>
        <item x="4993"/>
        <item x="4972"/>
        <item x="4970"/>
        <item x="5001"/>
        <item x="4975"/>
        <item x="5008"/>
        <item x="5020"/>
        <item x="5040"/>
        <item x="4973"/>
        <item x="5003"/>
        <item x="5006"/>
        <item x="5039"/>
        <item x="5052"/>
        <item x="5009"/>
        <item x="4944"/>
        <item x="5031"/>
        <item x="5037"/>
        <item x="4989"/>
        <item x="4974"/>
        <item x="4954"/>
        <item x="4956"/>
        <item x="5051"/>
        <item x="5069"/>
        <item x="5038"/>
        <item x="5004"/>
        <item x="4968"/>
        <item x="5075"/>
        <item x="4946"/>
        <item x="4966"/>
        <item x="4977"/>
        <item x="5021"/>
        <item x="5053"/>
        <item x="4965"/>
        <item x="4948"/>
        <item x="4978"/>
        <item x="5041"/>
        <item x="5042"/>
        <item x="5044"/>
        <item x="5055"/>
        <item x="5054"/>
        <item x="5015"/>
        <item x="5047"/>
        <item x="4987"/>
        <item x="5049"/>
        <item x="4947"/>
        <item x="5048"/>
        <item x="5036"/>
        <item x="4976"/>
        <item x="5016"/>
        <item x="5017"/>
        <item x="5018"/>
        <item x="5073"/>
        <item x="5043"/>
        <item x="5046"/>
        <item x="5033"/>
        <item x="5010"/>
        <item x="5050"/>
        <item x="5045"/>
        <item x="5019"/>
        <item x="5074"/>
        <item x="4967"/>
        <item x="5027"/>
        <item x="5076"/>
        <item x="4979"/>
        <item x="5034"/>
        <item x="4964"/>
        <item x="5032"/>
        <item x="5035"/>
        <item x="4986"/>
        <item x="5072"/>
        <item x="5067"/>
        <item x="5068"/>
        <item x="5070"/>
        <item x="5030"/>
        <item x="5058"/>
        <item x="5056"/>
        <item x="5057"/>
        <item x="5071"/>
        <item x="5014"/>
        <item x="5013"/>
        <item x="5061"/>
        <item x="4980"/>
        <item x="5011"/>
        <item x="5065"/>
        <item x="5066"/>
        <item x="5059"/>
        <item x="5062"/>
        <item x="5012"/>
        <item x="5028"/>
        <item x="5029"/>
        <item x="5060"/>
        <item x="5064"/>
        <item x="5077"/>
        <item x="5063"/>
        <item x="5078"/>
        <item x="4983"/>
        <item x="5079"/>
        <item x="4981"/>
        <item x="5107"/>
        <item x="4984"/>
        <item x="5109"/>
        <item x="5106"/>
        <item x="4982"/>
        <item x="5102"/>
        <item x="5080"/>
        <item x="5118"/>
        <item x="5117"/>
        <item x="5108"/>
        <item x="4985"/>
        <item x="5125"/>
        <item x="5084"/>
        <item x="5081"/>
        <item x="5122"/>
        <item x="5103"/>
        <item x="5111"/>
        <item x="5082"/>
        <item x="5100"/>
        <item x="5110"/>
        <item x="5105"/>
        <item x="5099"/>
        <item x="5101"/>
        <item x="5114"/>
        <item x="5124"/>
        <item x="5121"/>
        <item x="5113"/>
        <item x="5126"/>
        <item x="5119"/>
        <item x="5123"/>
        <item x="5104"/>
        <item x="5116"/>
        <item x="5112"/>
        <item x="5120"/>
        <item x="5115"/>
        <item x="5083"/>
        <item x="5155"/>
        <item x="5086"/>
        <item x="5085"/>
        <item x="5098"/>
        <item x="5088"/>
        <item x="5089"/>
        <item x="5127"/>
        <item x="5090"/>
        <item x="5092"/>
        <item x="5087"/>
        <item x="5156"/>
        <item x="5159"/>
        <item x="5160"/>
        <item x="5095"/>
        <item x="5091"/>
        <item x="5097"/>
        <item x="5096"/>
        <item x="5093"/>
        <item x="5094"/>
        <item x="5162"/>
        <item x="5158"/>
        <item x="5170"/>
        <item x="5154"/>
        <item x="5150"/>
        <item x="5161"/>
        <item x="5153"/>
        <item x="5169"/>
        <item x="5168"/>
        <item x="5149"/>
        <item x="5129"/>
        <item x="5157"/>
        <item x="5128"/>
        <item x="5166"/>
        <item x="5167"/>
        <item x="5151"/>
        <item x="5130"/>
        <item x="5163"/>
        <item x="5171"/>
        <item x="5165"/>
        <item x="5164"/>
        <item x="5148"/>
        <item x="5147"/>
        <item x="5152"/>
        <item x="5146"/>
        <item x="5173"/>
        <item x="5131"/>
        <item x="5174"/>
        <item x="5172"/>
        <item x="5145"/>
        <item x="5135"/>
        <item x="5132"/>
        <item x="5133"/>
        <item x="5141"/>
        <item x="5175"/>
        <item x="5179"/>
        <item x="5176"/>
        <item x="5139"/>
        <item x="5178"/>
        <item x="5134"/>
        <item x="5138"/>
        <item x="5181"/>
        <item x="5136"/>
        <item x="5177"/>
        <item x="5140"/>
        <item x="5137"/>
        <item x="5180"/>
        <item x="5142"/>
        <item x="5143"/>
        <item x="5144"/>
        <item x="5182"/>
        <item x="5186"/>
        <item x="5184"/>
        <item x="5183"/>
        <item x="5185"/>
        <item x="5187"/>
        <item x="5189"/>
        <item x="5188"/>
        <item x="5190"/>
        <item x="5360"/>
        <item x="5364"/>
        <item x="5201"/>
        <item x="5196"/>
        <item x="5194"/>
        <item x="5191"/>
        <item x="5192"/>
        <item x="5195"/>
        <item x="5359"/>
        <item x="5202"/>
        <item x="5386"/>
        <item x="5193"/>
        <item x="5363"/>
        <item x="5351"/>
        <item x="5200"/>
        <item x="5197"/>
        <item x="5199"/>
        <item x="5203"/>
        <item x="5253"/>
        <item x="5384"/>
        <item x="5198"/>
        <item x="5255"/>
        <item x="5251"/>
        <item x="5252"/>
        <item x="5211"/>
        <item x="5210"/>
        <item x="5383"/>
        <item x="5362"/>
        <item x="5204"/>
        <item x="5208"/>
        <item x="5217"/>
        <item x="5209"/>
        <item x="5213"/>
        <item x="5207"/>
        <item x="5218"/>
        <item x="5212"/>
        <item x="5365"/>
        <item x="5385"/>
        <item x="5350"/>
        <item x="5349"/>
        <item x="5216"/>
        <item x="5332"/>
        <item x="5361"/>
        <item x="5256"/>
        <item x="5206"/>
        <item x="5254"/>
        <item x="5215"/>
        <item x="5214"/>
        <item x="5205"/>
        <item x="5219"/>
        <item x="5358"/>
        <item x="5223"/>
        <item x="5220"/>
        <item x="5260"/>
        <item x="5222"/>
        <item x="5257"/>
        <item x="5250"/>
        <item x="5259"/>
        <item x="5245"/>
        <item x="5366"/>
        <item x="5352"/>
        <item x="5221"/>
        <item x="5246"/>
        <item x="5258"/>
        <item x="5355"/>
        <item x="5346"/>
        <item x="5345"/>
        <item x="5367"/>
        <item x="5239"/>
        <item x="5357"/>
        <item x="5330"/>
        <item x="5261"/>
        <item x="5331"/>
        <item x="5333"/>
        <item x="5224"/>
        <item x="5382"/>
        <item x="5240"/>
        <item x="5238"/>
        <item x="5353"/>
        <item x="5247"/>
        <item x="5354"/>
        <item x="5229"/>
        <item x="5369"/>
        <item x="5249"/>
        <item x="5371"/>
        <item x="5348"/>
        <item x="5248"/>
        <item x="5230"/>
        <item x="5241"/>
        <item x="5334"/>
        <item x="5244"/>
        <item x="5236"/>
        <item x="5356"/>
        <item x="5237"/>
        <item x="5368"/>
        <item x="5347"/>
        <item x="5341"/>
        <item x="5235"/>
        <item x="5234"/>
        <item x="5339"/>
        <item x="5381"/>
        <item x="5329"/>
        <item x="5233"/>
        <item x="5232"/>
        <item x="5228"/>
        <item x="5344"/>
        <item x="5227"/>
        <item x="5327"/>
        <item x="5262"/>
        <item x="5328"/>
        <item x="5231"/>
        <item x="5373"/>
        <item x="5370"/>
        <item x="5372"/>
        <item x="5263"/>
        <item x="5225"/>
        <item x="5342"/>
        <item x="5226"/>
        <item x="5325"/>
        <item x="5242"/>
        <item x="5243"/>
        <item x="5340"/>
        <item x="5264"/>
        <item x="5266"/>
        <item x="5269"/>
        <item x="5265"/>
        <item x="5335"/>
        <item x="5377"/>
        <item x="5337"/>
        <item x="5268"/>
        <item x="5378"/>
        <item x="5270"/>
        <item x="5326"/>
        <item x="5374"/>
        <item x="5267"/>
        <item x="5380"/>
        <item x="5336"/>
        <item x="5343"/>
        <item x="5338"/>
        <item x="5376"/>
        <item x="5320"/>
        <item x="5321"/>
        <item x="5322"/>
        <item x="5379"/>
        <item x="5323"/>
        <item x="5375"/>
        <item x="5319"/>
        <item x="5324"/>
        <item x="5308"/>
        <item x="5297"/>
        <item x="5271"/>
        <item x="5307"/>
        <item x="5272"/>
        <item x="5306"/>
        <item x="5298"/>
        <item x="5309"/>
        <item x="5304"/>
        <item x="5318"/>
        <item x="5274"/>
        <item x="5296"/>
        <item x="5292"/>
        <item x="5295"/>
        <item x="5294"/>
        <item x="5281"/>
        <item x="5273"/>
        <item x="5282"/>
        <item x="5301"/>
        <item x="5275"/>
        <item x="5310"/>
        <item x="5276"/>
        <item x="5305"/>
        <item x="5311"/>
        <item x="5317"/>
        <item x="5299"/>
        <item x="5300"/>
        <item x="5280"/>
        <item x="5278"/>
        <item x="5284"/>
        <item x="5316"/>
        <item x="5277"/>
        <item x="5293"/>
        <item x="5283"/>
        <item x="5279"/>
        <item x="5290"/>
        <item x="5291"/>
        <item x="5286"/>
        <item x="5315"/>
        <item x="5303"/>
        <item x="5285"/>
        <item x="5289"/>
        <item x="5313"/>
        <item x="5287"/>
        <item x="5314"/>
        <item x="5312"/>
        <item x="5302"/>
        <item x="5288"/>
        <item t="default"/>
      </items>
    </pivotField>
    <pivotField showAll="0"/>
    <pivotField showAll="0"/>
    <pivotField showAll="0">
      <items count="7">
        <item sd="0" x="0"/>
        <item sd="0" x="1"/>
        <item sd="0" x="2"/>
        <item sd="0" x="3"/>
        <item sd="0" x="4"/>
        <item sd="0" x="5"/>
        <item t="default"/>
      </items>
    </pivotField>
    <pivotField axis="axisCol" showAll="0">
      <items count="40">
        <item h="1" sd="0" x="0"/>
        <item h="1" x="1"/>
        <item h="1" x="2"/>
        <item h="1" x="3"/>
        <item h="1" x="4"/>
        <item h="1" x="5"/>
        <item h="1" x="6"/>
        <item h="1" x="7"/>
        <item h="1" x="8"/>
        <item h="1" x="9"/>
        <item h="1" x="10"/>
        <item h="1" x="11"/>
        <item h="1" x="12"/>
        <item h="1" x="13"/>
        <item h="1" x="14"/>
        <item h="1" x="15"/>
        <item h="1" x="16"/>
        <item h="1" x="17"/>
        <item h="1" x="18"/>
        <item h="1" x="19"/>
        <item h="1" x="20"/>
        <item h="1" sd="0" x="21"/>
        <item h="1" sd="0" x="22"/>
        <item h="1" sd="0" x="23"/>
        <item h="1" sd="0" x="24"/>
        <item sd="0" x="25"/>
        <item sd="0" x="26"/>
        <item sd="0" x="27"/>
        <item x="28"/>
        <item x="29"/>
        <item x="30"/>
        <item x="31"/>
        <item x="32"/>
        <item x="33"/>
        <item x="34"/>
        <item x="35"/>
        <item x="36"/>
        <item x="37"/>
        <item sd="0" x="38"/>
        <item t="default"/>
      </items>
    </pivotField>
  </pivotFields>
  <rowFields count="1">
    <field x="0"/>
  </rowFields>
  <rowItems count="13">
    <i>
      <x v="1"/>
    </i>
    <i>
      <x v="2"/>
    </i>
    <i>
      <x v="3"/>
    </i>
    <i>
      <x v="4"/>
    </i>
    <i>
      <x v="5"/>
    </i>
    <i>
      <x v="6"/>
    </i>
    <i>
      <x v="7"/>
    </i>
    <i>
      <x v="8"/>
    </i>
    <i>
      <x v="9"/>
    </i>
    <i>
      <x v="10"/>
    </i>
    <i>
      <x v="11"/>
    </i>
    <i>
      <x v="12"/>
    </i>
    <i t="grand">
      <x/>
    </i>
  </rowItems>
  <colFields count="1">
    <field x="8"/>
  </colFields>
  <colItems count="14">
    <i>
      <x v="25"/>
    </i>
    <i>
      <x v="26"/>
    </i>
    <i>
      <x v="27"/>
    </i>
    <i>
      <x v="28"/>
    </i>
    <i>
      <x v="29"/>
    </i>
    <i>
      <x v="30"/>
    </i>
    <i>
      <x v="31"/>
    </i>
    <i>
      <x v="32"/>
    </i>
    <i>
      <x v="33"/>
    </i>
    <i>
      <x v="34"/>
    </i>
    <i>
      <x v="35"/>
    </i>
    <i>
      <x v="36"/>
    </i>
    <i>
      <x v="37"/>
    </i>
    <i t="grand">
      <x/>
    </i>
  </colItems>
  <dataFields count="1">
    <dataField name="Average of Close" fld="4" subtotal="average" baseField="0" baseItem="1" numFmtId="44"/>
  </dataFields>
  <formats count="11">
    <format dxfId="18">
      <pivotArea type="all" dataOnly="0" outline="0" fieldPosition="0"/>
    </format>
    <format dxfId="17">
      <pivotArea outline="0" collapsedLevelsAreSubtotals="1" fieldPosition="0"/>
    </format>
    <format dxfId="16">
      <pivotArea type="origin" dataOnly="0" labelOnly="1" outline="0" fieldPosition="0"/>
    </format>
    <format dxfId="15">
      <pivotArea field="8" type="button" dataOnly="0" labelOnly="1" outline="0" axis="axisCol" fieldPosition="0"/>
    </format>
    <format dxfId="14">
      <pivotArea type="topRight" dataOnly="0" labelOnly="1" outline="0" fieldPosition="0"/>
    </format>
    <format dxfId="13">
      <pivotArea field="0" type="button" dataOnly="0" labelOnly="1" outline="0" axis="axisRow" fieldPosition="0"/>
    </format>
    <format dxfId="12">
      <pivotArea dataOnly="0" labelOnly="1" fieldPosition="0">
        <references count="1">
          <reference field="0" count="12">
            <x v="1"/>
            <x v="2"/>
            <x v="3"/>
            <x v="4"/>
            <x v="5"/>
            <x v="6"/>
            <x v="7"/>
            <x v="8"/>
            <x v="9"/>
            <x v="10"/>
            <x v="11"/>
            <x v="12"/>
          </reference>
        </references>
      </pivotArea>
    </format>
    <format dxfId="11">
      <pivotArea dataOnly="0" labelOnly="1" grandRow="1" outline="0" fieldPosition="0"/>
    </format>
    <format dxfId="10">
      <pivotArea dataOnly="0" labelOnly="1" fieldPosition="0">
        <references count="1">
          <reference field="8" count="13">
            <x v="25"/>
            <x v="26"/>
            <x v="27"/>
            <x v="28"/>
            <x v="29"/>
            <x v="30"/>
            <x v="31"/>
            <x v="32"/>
            <x v="33"/>
            <x v="34"/>
            <x v="35"/>
            <x v="36"/>
            <x v="37"/>
          </reference>
        </references>
      </pivotArea>
    </format>
    <format dxfId="9">
      <pivotArea dataOnly="0" labelOnly="1" grandCol="1" outline="0" fieldPosition="0"/>
    </format>
    <format dxfId="8">
      <pivotArea collapsedLevelsAreSubtotals="1" fieldPosition="0">
        <references count="1">
          <reference field="0" count="12">
            <x v="1"/>
            <x v="2"/>
            <x v="3"/>
            <x v="4"/>
            <x v="5"/>
            <x v="6"/>
            <x v="7"/>
            <x v="8"/>
            <x v="9"/>
            <x v="10"/>
            <x v="11"/>
            <x v="12"/>
          </reference>
        </references>
      </pivotArea>
    </format>
  </formats>
  <conditionalFormats count="13">
    <conditionalFormat priority="1">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37"/>
            </reference>
          </references>
        </pivotArea>
      </pivotAreas>
    </conditionalFormat>
    <conditionalFormat priority="2">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36"/>
            </reference>
          </references>
        </pivotArea>
      </pivotAreas>
    </conditionalFormat>
    <conditionalFormat priority="3">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35"/>
            </reference>
          </references>
        </pivotArea>
      </pivotAreas>
    </conditionalFormat>
    <conditionalFormat priority="4">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34"/>
            </reference>
          </references>
        </pivotArea>
      </pivotAreas>
    </conditionalFormat>
    <conditionalFormat priority="5">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33"/>
            </reference>
          </references>
        </pivotArea>
      </pivotAreas>
    </conditionalFormat>
    <conditionalFormat priority="6">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32"/>
            </reference>
          </references>
        </pivotArea>
      </pivotAreas>
    </conditionalFormat>
    <conditionalFormat priority="7">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31"/>
            </reference>
          </references>
        </pivotArea>
      </pivotAreas>
    </conditionalFormat>
    <conditionalFormat priority="8">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30"/>
            </reference>
          </references>
        </pivotArea>
      </pivotAreas>
    </conditionalFormat>
    <conditionalFormat priority="9">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29"/>
            </reference>
          </references>
        </pivotArea>
      </pivotAreas>
    </conditionalFormat>
    <conditionalFormat priority="10">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28"/>
            </reference>
          </references>
        </pivotArea>
      </pivotAreas>
    </conditionalFormat>
    <conditionalFormat priority="11">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27"/>
            </reference>
          </references>
        </pivotArea>
      </pivotAreas>
    </conditionalFormat>
    <conditionalFormat priority="12">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26"/>
            </reference>
          </references>
        </pivotArea>
      </pivotAreas>
    </conditionalFormat>
    <conditionalFormat priority="13">
      <pivotAreas count="1">
        <pivotArea type="data" collapsedLevelsAreSubtotals="1" fieldPosition="0">
          <references count="3">
            <reference field="4294967294" count="1" selected="0">
              <x v="0"/>
            </reference>
            <reference field="0" count="12">
              <x v="1"/>
              <x v="2"/>
              <x v="3"/>
              <x v="4"/>
              <x v="5"/>
              <x v="6"/>
              <x v="7"/>
              <x v="8"/>
              <x v="9"/>
              <x v="10"/>
              <x v="11"/>
              <x v="12"/>
            </reference>
            <reference field="8" count="1" selected="0">
              <x v="2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3">
  <rv s="0">
    <v>https://www.bing.com/financeapi/forcetrigger?t=a1ygoc&amp;q=XNAS%3aNFLX&amp;form=skydnc</v>
    <v>Learn more on Bing</v>
  </rv>
  <rv s="1">
    <v>en-US</v>
    <v>a1ygoc</v>
    <v>268435456</v>
    <v>268435457</v>
    <v>1</v>
    <v>Powered by Refinitiv</v>
    <v>0</v>
    <v>NETFLIX, INC. (XNAS:NFLX)</v>
    <v>2</v>
    <v>3</v>
    <v>Finance</v>
    <v>4</v>
    <v>700.98940000000005</v>
    <v>211.52</v>
    <v>0.99629999999999996</v>
    <v>-7.97</v>
    <v>2.4290000000000002E-3</v>
    <v>-3.5236000000000003E-2</v>
    <v>0.53</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100 Winchester Cir, LOS GATOS, CA, 95032-1815 US</v>
    <v>227.68</v>
    <v>Software &amp; IT Services</v>
    <v>Stock</v>
    <v>44672.999982858593</v>
    <v>0</v>
    <v>211.52</v>
    <v>149997400000</v>
    <v>NETFLIX, INC.</v>
    <v>NETFLIX, INC.</v>
    <v>220</v>
    <v>21.627700000000001</v>
    <v>226.19</v>
    <v>218.22</v>
    <v>218.75</v>
    <v>443963100</v>
    <v>NFLX</v>
    <v>NETFLIX, INC. (XNAS:NFLX)</v>
    <v>53501603</v>
    <v>10543317</v>
    <v>1997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spbArrays>
  <spbData count="5">
    <spb s="0">
      <v>0</v>
    </spb>
    <spb s="1">
      <v>0</v>
      <v>0</v>
      <v>0</v>
    </spb>
    <spb s="2">
      <v>1</v>
      <v>1</v>
      <v>1</v>
    </spb>
    <spb s="3">
      <v>1</v>
      <v>2</v>
      <v>2</v>
      <v>1</v>
      <v>3</v>
      <v>1</v>
      <v>1</v>
      <v>1</v>
      <v>4</v>
      <v>4</v>
      <v>5</v>
      <v>6</v>
      <v>1</v>
      <v>1</v>
      <v>1</v>
      <v>4</v>
      <v>7</v>
      <v>8</v>
      <v>9</v>
      <v>10</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yyyy/mm/dd\ h:mm"/>
    </x:dxf>
    <x:dxf>
      <x:numFmt numFmtId="2" formatCode="0.00"/>
    </x:dxf>
    <x:dxf>
      <x:numFmt numFmtId="1" formatCode="0"/>
    </x:dxf>
  </dxfs>
  <richProperties>
    <rPr n="IsTitleField" t="b"/>
    <rPr n="ShouldShowInCell" t="b"/>
  </richProperties>
  <richStyles>
    <rSty dxfid="0"/>
    <rSty dxfid="1"/>
    <rSty>
      <rpv i="0">1</rpv>
    </rSty>
    <rSty dxfid="2"/>
    <rSty dxfid="3"/>
    <rSty dxfid="4"/>
    <rSty>
      <rpv i="1">1</rpv>
    </rSty>
    <rSty dxfid="5"/>
    <rSty dxfid="6"/>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EC9DABE9-8DF5-4A7B-B855-4C33D3B57CEE}" name="Table37" displayName="Table37" ref="A1:E13" totalsRowShown="0">
  <autoFilter ref="A1:E13" xr:uid="{63A2B1EA-9C62-470C-965D-DD2578C47CD5}"/>
  <tableColumns count="5">
    <tableColumn id="1" xr3:uid="{21DDEDCF-5446-4673-9096-3111884850FA}" name="Timeline"/>
    <tableColumn id="2" xr3:uid="{54785443-B484-4EA9-9066-20057A633C2A}" name="Values"/>
    <tableColumn id="3" xr3:uid="{7FA314B4-7BD9-4E5D-B7E9-98B59E9F48E8}" name="Forecast" dataDxfId="130">
      <calculatedColumnFormula>_xlfn.FORECAST.ETS(A2,$B$2:$B$6,$A$2:$A$6,1,1)</calculatedColumnFormula>
    </tableColumn>
    <tableColumn id="4" xr3:uid="{8E804E65-A005-4B2D-8C79-AC78E0B3A442}" name="Lower Confidence Bound" dataDxfId="129">
      <calculatedColumnFormula>C2-_xlfn.FORECAST.ETS.CONFINT(A2,$B$2:$B$6,$A$2:$A$6,0.99,1,1)</calculatedColumnFormula>
    </tableColumn>
    <tableColumn id="5" xr3:uid="{826D9D70-6B38-4C74-B376-41C5E3FD60A9}" name="Upper Confidence Bound" dataDxfId="128">
      <calculatedColumnFormula>C2+_xlfn.FORECAST.ETS.CONFINT(A2,$B$2:$B$6,$A$2:$A$6,0.99,1,1)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D562F8E9-766A-42E9-AA15-8E399CCA7616}" name="Table36" displayName="Table36" ref="A1:D13" totalsRowShown="0">
  <autoFilter ref="A1:D13" xr:uid="{26F2BD78-1F24-4C26-A382-4FFA5025E131}"/>
  <tableColumns count="4">
    <tableColumn id="1" xr3:uid="{BE76732A-0736-4EBD-9497-BD2B295D6A9E}" name="Timeline"/>
    <tableColumn id="2" xr3:uid="{51EFBFCC-8B2F-4B9B-BECE-0DCD0AFD5B78}" name="Values"/>
    <tableColumn id="3" xr3:uid="{28060D27-DBA3-417B-8315-0C230393B92A}" name="Forecast" dataDxfId="127">
      <calculatedColumnFormula>_xlfn.FORECAST.ETS(A2,$B$2:$B$6,$A$2:$A$6,1,1)</calculatedColumnFormula>
    </tableColumn>
    <tableColumn id="4" xr3:uid="{4B2B887F-80D4-4F56-A6E2-BB1C9BA86C72}" name="Confidence Interval" dataDxfId="126">
      <calculatedColumnFormula>_xlfn.FORECAST.ETS.CONFINT(A2,$B$2:$B$6,$A$2:$A$6,0.99,1,1)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4F0E6169-E684-4E1B-A44D-6E72AC2C80C7}" name="Table35" displayName="Table35" ref="A1:D13" totalsRowShown="0">
  <autoFilter ref="A1:D13" xr:uid="{91D0F9BC-2389-4ECC-8F97-20AEBC4019A6}"/>
  <tableColumns count="4">
    <tableColumn id="1" xr3:uid="{B28CB50A-7464-4755-B519-060169C3B396}" name="Timeline"/>
    <tableColumn id="2" xr3:uid="{1036C36A-3E3A-4CB2-80C0-2AE78767256D}" name="Values"/>
    <tableColumn id="3" xr3:uid="{1E618478-27C7-4127-BE31-79E91E7D7CE8}" name="Forecast" dataDxfId="125">
      <calculatedColumnFormula>_xlfn.FORECAST.ETS(A2,$B$2:$B$6,$A$2:$A$6,1,1)</calculatedColumnFormula>
    </tableColumn>
    <tableColumn id="4" xr3:uid="{A373FA20-1BEB-46F4-BEF2-18DAD4131AD3}" name="Confidence Interval" dataDxfId="124">
      <calculatedColumnFormula>_xlfn.FORECAST.ETS.CONFINT(A2,$B$2:$B$6,$A$2:$A$6,0.99,1,1)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9CDCFE5-5B32-4163-ABA3-32BF15BD9F74}" name="Table34" displayName="Table34" ref="A1:E13" totalsRowShown="0">
  <autoFilter ref="A1:E13" xr:uid="{0486BE4B-BDEA-4AC5-B7F5-248626753E80}"/>
  <tableColumns count="5">
    <tableColumn id="1" xr3:uid="{A9541C3E-147B-4367-B978-08489708258B}" name="Timeline"/>
    <tableColumn id="2" xr3:uid="{3AE940AB-92D1-4C11-A170-0A1458144D4D}" name="Values"/>
    <tableColumn id="3" xr3:uid="{87FC2220-B3AC-46BA-B0FB-75523ED66CFA}" name="Forecast" dataDxfId="123">
      <calculatedColumnFormula>_xlfn.FORECAST.ETS(A2,$B$2:$B$6,$A$2:$A$6,1,1)</calculatedColumnFormula>
    </tableColumn>
    <tableColumn id="4" xr3:uid="{C7625AE7-FD1E-4138-951E-7A20037B4C67}" name="Lower Confidence Bound" dataDxfId="122">
      <calculatedColumnFormula>C2-_xlfn.FORECAST.ETS.CONFINT(A2,$B$2:$B$6,$A$2:$A$6,0.99,1,1)</calculatedColumnFormula>
    </tableColumn>
    <tableColumn id="5" xr3:uid="{22DBF883-E320-4451-B531-655926E737EA}" name="Upper Confidence Bound" dataDxfId="121">
      <calculatedColumnFormula>C2+_xlfn.FORECAST.ETS.CONFINT(A2,$B$2:$B$6,$A$2:$A$6,0.99,1,1)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526C5BE-0E5C-4FD3-B18A-ADF6920F1482}" name="Table32" displayName="Table32" ref="A1:D13" totalsRowShown="0">
  <autoFilter ref="A1:D13" xr:uid="{277C3538-4813-4C79-815C-1167B2AE925A}"/>
  <tableColumns count="4">
    <tableColumn id="1" xr3:uid="{91002498-7A9D-4DFB-A86C-7D75A0A72A34}" name="Timeline"/>
    <tableColumn id="2" xr3:uid="{5669820C-FDC0-4510-9895-9679DD83C614}" name="Values"/>
    <tableColumn id="3" xr3:uid="{D7C2A7D1-8FE1-47B3-9E5E-1123D31CBE7D}" name="Forecast" dataDxfId="120">
      <calculatedColumnFormula>_xlfn.FORECAST.ETS(A2,$B$2:$B$6,$A$2:$A$6,1,1)</calculatedColumnFormula>
    </tableColumn>
    <tableColumn id="4" xr3:uid="{461533E2-3F3F-451D-B612-0A1CDEBAB4E5}" name="Confidence Interval" dataDxfId="119">
      <calculatedColumnFormula>_xlfn.FORECAST.ETS.CONFINT(A2,$B$2:$B$6,$A$2:$A$6,0.99,1,1)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14243A7-D100-45A3-9639-860ACD66B8AE}" name="Table31" displayName="Table31" ref="A1:D14" totalsRowShown="0">
  <autoFilter ref="A1:D14" xr:uid="{175206F7-F0EE-470F-B343-950D111E1C7B}"/>
  <tableColumns count="4">
    <tableColumn id="1" xr3:uid="{26914788-8B6D-4C86-B743-5A38C2CF9D2E}" name="Timeline"/>
    <tableColumn id="2" xr3:uid="{28FF6400-3372-436B-9E77-3296CC54A030}" name="Values"/>
    <tableColumn id="3" xr3:uid="{691DCA0B-CE0A-44EE-9F41-EE4D7A38A6DB}" name="Forecast" dataDxfId="118">
      <calculatedColumnFormula>_xlfn.FORECAST.ETS(A2,$B$2:$B$7,$A$2:$A$7,1,1)</calculatedColumnFormula>
    </tableColumn>
    <tableColumn id="4" xr3:uid="{65C6CCA4-1C15-4526-980B-1CB7DD2AA130}" name="Confidence Interval" dataDxfId="117">
      <calculatedColumnFormula>_xlfn.FORECAST.ETS.CONFINT(A2,$B$2:$B$7,$A$2:$A$7,0.99,1,1)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E31670D-D1E0-4254-B89D-1E901AC94EDB}" name="Table30" displayName="Table30" ref="A1:D14" totalsRowShown="0">
  <autoFilter ref="A1:D14" xr:uid="{73620A97-8DB4-4DD8-A8D3-DE9164D72BF7}"/>
  <tableColumns count="4">
    <tableColumn id="1" xr3:uid="{1A93C628-060A-4DFE-B8CA-BD40F443B960}" name="Timeline"/>
    <tableColumn id="2" xr3:uid="{223B97EB-3FFD-416F-8760-7F7E258527E6}" name="Values"/>
    <tableColumn id="3" xr3:uid="{1B4D3CA5-DF70-4404-B5D1-340A9C568EDA}" name="Forecast" dataDxfId="116">
      <calculatedColumnFormula>_xlfn.FORECAST.ETS(A2,$B$2:$B$7,$A$2:$A$7,1,1)</calculatedColumnFormula>
    </tableColumn>
    <tableColumn id="4" xr3:uid="{14E2B6D4-124D-44D6-A634-FF857EDD4556}" name="Confidence Interval" dataDxfId="115">
      <calculatedColumnFormula>_xlfn.FORECAST.ETS.CONFINT(A2,$B$2:$B$7,$A$2:$A$7,0.99,1,1)</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3F92EFE-FC10-4091-8736-D156BE1EFC3F}" name="Table29" displayName="Table29" ref="A1:D14" totalsRowShown="0">
  <autoFilter ref="A1:D14" xr:uid="{1318C7EB-6D9D-4208-984F-F8F485B9B752}"/>
  <tableColumns count="4">
    <tableColumn id="1" xr3:uid="{0990E3B2-C6A6-4227-B09D-D8256920DA97}" name="Timeline"/>
    <tableColumn id="2" xr3:uid="{97FE7774-45E4-4096-8057-BC91C86E3705}" name="Values"/>
    <tableColumn id="3" xr3:uid="{9926A046-4809-47D1-B17E-E8B1D3A88328}" name="Forecast" dataDxfId="114">
      <calculatedColumnFormula>_xlfn.FORECAST.ETS(A2,$B$2:$B$7,$A$2:$A$7,1,1)</calculatedColumnFormula>
    </tableColumn>
    <tableColumn id="4" xr3:uid="{9D3E6F88-C5E1-471A-850A-7BA60459298F}" name="Confidence Interval" dataDxfId="113">
      <calculatedColumnFormula>_xlfn.FORECAST.ETS.CONFINT(A2,$B$2:$B$7,$A$2:$A$7,0.99,1,1)</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872AAB87-0FC4-4CBF-9371-6890677C7F33}" name="Table28" displayName="Table28" ref="A1:D14" totalsRowShown="0">
  <autoFilter ref="A1:D14" xr:uid="{163239C9-19F4-4F84-A6A5-F9750121E2FD}"/>
  <tableColumns count="4">
    <tableColumn id="1" xr3:uid="{7C923AC0-CBCB-4BE2-BCD8-31D737BE6462}" name="Timeline"/>
    <tableColumn id="2" xr3:uid="{E673D97B-1A3D-439E-AF08-2B983AF19422}" name="Values"/>
    <tableColumn id="3" xr3:uid="{51DA3917-2E43-4923-AA98-7694CA802661}" name="Forecast" dataDxfId="112">
      <calculatedColumnFormula>_xlfn.FORECAST.ETS(A2,$B$2:$B$7,$A$2:$A$7,1,1)</calculatedColumnFormula>
    </tableColumn>
    <tableColumn id="4" xr3:uid="{9EFD86F9-F036-4F99-9B06-F0731BFDB801}" name="Confidence Interval" dataDxfId="111">
      <calculatedColumnFormula>_xlfn.FORECAST.ETS.CONFINT(A2,$B$2:$B$7,$A$2:$A$7,0.99,1,1)</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2C83F95B-5CB6-474F-ACCC-F538B426679F}" name="Table27" displayName="Table27" ref="A1:D14" totalsRowShown="0">
  <autoFilter ref="A1:D14" xr:uid="{3A548A0A-2171-4A03-B33F-E0AE2D670792}"/>
  <tableColumns count="4">
    <tableColumn id="1" xr3:uid="{1DF092F7-985D-41E0-BE03-4D74879D578C}" name="Timeline"/>
    <tableColumn id="2" xr3:uid="{F318B3F2-A944-4250-ADA7-2E14E96895EB}" name="Values"/>
    <tableColumn id="3" xr3:uid="{6FDA59B5-FC30-495E-9A96-7B74B8676A7B}" name="Forecast" dataDxfId="110">
      <calculatedColumnFormula>_xlfn.FORECAST.ETS(A2,$B$2:$B$7,$A$2:$A$7,1,1)</calculatedColumnFormula>
    </tableColumn>
    <tableColumn id="4" xr3:uid="{FDCA5481-0687-4484-B8B2-B7D93C54B74E}" name="Confidence Interval" dataDxfId="109">
      <calculatedColumnFormula>_xlfn.FORECAST.ETS.CONFINT(A2,$B$2:$B$7,$A$2:$A$7,0.99,1,1)</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580BE28-CDDB-4330-8E26-4B3860E684EF}" name="Table26" displayName="Table26" ref="A1:D14" totalsRowShown="0">
  <autoFilter ref="A1:D14" xr:uid="{983A6150-3DF6-4775-8305-D5E56BA8F6BC}"/>
  <tableColumns count="4">
    <tableColumn id="1" xr3:uid="{0A0D4B2C-096F-4898-A93F-E603D042907B}" name="Timeline"/>
    <tableColumn id="2" xr3:uid="{A71147AA-DE62-4C3F-9C7D-8E131D13E8E3}" name="Values"/>
    <tableColumn id="3" xr3:uid="{85EC0015-FB82-4994-AE37-549A7BAA2B19}" name="Forecast" dataDxfId="108">
      <calculatedColumnFormula>_xlfn.FORECAST.ETS(A2,$B$2:$B$7,$A$2:$A$7,1,1)</calculatedColumnFormula>
    </tableColumn>
    <tableColumn id="4" xr3:uid="{47A07D1A-9764-46C6-9970-AA064F5468AC}" name="Confidence Interval" dataDxfId="107">
      <calculatedColumnFormula>_xlfn.FORECAST.ETS.CONFINT(A2,$B$2:$B$7,$A$2:$A$7,0.99,1,1)</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66E23E9-6DF3-424A-A20F-3E902DF6796F}" name="Table25" displayName="Table25" ref="A1:D14" totalsRowShown="0">
  <autoFilter ref="A1:D14" xr:uid="{AB21B3D7-8AAA-4B18-A0AA-23AFAC08CB79}"/>
  <tableColumns count="4">
    <tableColumn id="1" xr3:uid="{E5122317-DB11-4F34-891D-0F0793661182}" name="Timeline"/>
    <tableColumn id="2" xr3:uid="{A0F02124-A7FF-485B-ABA3-1BC7250FB3B2}" name="Values"/>
    <tableColumn id="3" xr3:uid="{3BCFFB0A-DA92-4670-A542-FDDA9ADE4FBA}" name="Forecast" dataDxfId="106">
      <calculatedColumnFormula>_xlfn.FORECAST.ETS(A2,$B$2:$B$7,$A$2:$A$7,1,1)</calculatedColumnFormula>
    </tableColumn>
    <tableColumn id="4" xr3:uid="{2642ABA3-8CB6-4CC2-A2CE-DBC62FFA6E64}" name="Confidence Interval" dataDxfId="105">
      <calculatedColumnFormula>_xlfn.FORECAST.ETS.CONFINT(A2,$B$2:$B$7,$A$2:$A$7,0.99,1,1)</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9C1155C-3EFA-4EE4-A686-2DFD75FC6152}" name="Table21" displayName="Table21" ref="A1:D14" totalsRowShown="0">
  <autoFilter ref="A1:D14" xr:uid="{12BA334E-DCAB-412F-9B28-FD5FBDA346AA}"/>
  <tableColumns count="4">
    <tableColumn id="1" xr3:uid="{E4258E47-7183-4739-A03D-FE82AE02EE20}" name="Timeline"/>
    <tableColumn id="2" xr3:uid="{94B2C849-BDC9-426F-98FB-6492202EBB8E}" name="Values" dataDxfId="104" dataCellStyle="Comma"/>
    <tableColumn id="3" xr3:uid="{EB85D63A-CCF8-4C2E-BF12-96608DF1F180}" name="Forecast" dataDxfId="103" dataCellStyle="Comma">
      <calculatedColumnFormula>_xlfn.FORECAST.ETS(A2,$B$2:$B$7,$A$2:$A$7,1,1)</calculatedColumnFormula>
    </tableColumn>
    <tableColumn id="4" xr3:uid="{3831B62C-2D0B-4988-A1B4-18C95A9BB45C}" name="Confidence Interval" dataDxfId="102" dataCellStyle="Comma">
      <calculatedColumnFormula>_xlfn.FORECAST.ETS.CONFINT(A2,$B$2:$B$7,$A$2:$A$7,0.99,1,1)</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21B5AA8-ECD6-42DD-9B67-A29A70D26536}" name="Table24" displayName="Table24" ref="A1:D14" totalsRowShown="0">
  <autoFilter ref="A1:D14" xr:uid="{4826D4F1-7FFE-433B-85BB-4EE84B589561}"/>
  <tableColumns count="4">
    <tableColumn id="1" xr3:uid="{BA601980-12AB-4519-AFCC-438454F8935B}" name="Timeline"/>
    <tableColumn id="2" xr3:uid="{9E854B2A-1B16-401F-A913-9C8E11E6B4AA}" name="Values"/>
    <tableColumn id="3" xr3:uid="{B4980A75-DEB5-4816-BB61-E3E0014C4421}" name="Forecast" dataDxfId="101">
      <calculatedColumnFormula>_xlfn.FORECAST.ETS(A2,$B$2:$B$7,$A$2:$A$7,1,1)</calculatedColumnFormula>
    </tableColumn>
    <tableColumn id="4" xr3:uid="{252396BF-C9B4-4875-9479-3C5E6A7F3B20}" name="Confidence Interval" dataDxfId="100">
      <calculatedColumnFormula>_xlfn.FORECAST.ETS.CONFINT(A2,$B$2:$B$7,$A$2:$A$7,0.99,1,1)</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1E4285-FE1C-4B1B-8EE2-ACAE23F365E5}" name="Table1" displayName="Table1" ref="A2:C16" totalsRowCount="1" headerRowDxfId="99" tableBorderDxfId="98">
  <autoFilter ref="A2:C15" xr:uid="{F1DE473E-3D04-40BC-BC2D-32965364BD33}"/>
  <tableColumns count="3">
    <tableColumn id="1" xr3:uid="{1DACFE65-B346-4F22-8E1D-F50ECF181D56}" name="Year" totalsRowLabel="Average"/>
    <tableColumn id="2" xr3:uid="{3E464973-BB92-4279-81C9-4EF40477CF7A}" name="FCF" dataDxfId="97" totalsRowDxfId="96" dataCellStyle="Currency"/>
    <tableColumn id="3" xr3:uid="{494BFA51-EA11-44F7-89A0-04C7BBD3E824}" name="YoY" totalsRowFunction="average" totalsRowDxfId="95" dataCellStyle="Percent"/>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A4951A-E9ED-43B5-B8B6-64992EA0E0AE}" name="Table13" displayName="Table13" ref="E2:G16" totalsRowCount="1" headerRowDxfId="94" tableBorderDxfId="93">
  <autoFilter ref="E2:G15" xr:uid="{87092138-C7C9-4107-BC9C-6C7CB34C196E}"/>
  <tableColumns count="3">
    <tableColumn id="1" xr3:uid="{A7AE2F2E-171E-4824-BA45-709DA1F4E974}" name="Year" totalsRowLabel="Average"/>
    <tableColumn id="2" xr3:uid="{4A6641AF-F2F1-4480-8854-EA7AC3D93C7E}" name="D&amp;A" dataDxfId="92" totalsRowDxfId="91" dataCellStyle="Comma"/>
    <tableColumn id="3" xr3:uid="{752555B0-80D4-4D1A-A753-EB7BC64DB9E7}" name="YoY" totalsRowFunction="average" totalsRowDxfId="90" dataCellStyle="Percent"/>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BE95DA-B1BA-41C1-999F-179762B4BB49}" name="Table134" displayName="Table134" ref="I2:K16" totalsRowCount="1" headerRowDxfId="89" tableBorderDxfId="88">
  <autoFilter ref="I2:K15" xr:uid="{D3D5AD2D-0EB5-43A8-B389-DFE05570B6A3}"/>
  <tableColumns count="3">
    <tableColumn id="1" xr3:uid="{018C01B3-92D0-45BB-B1C2-EC664D0CFB93}" name="Year" totalsRowLabel="Average"/>
    <tableColumn id="2" xr3:uid="{4E2E6940-F1D2-42F0-9A2C-CBDBD0284A69}" name="EBIT" dataDxfId="87" totalsRowDxfId="86" dataCellStyle="Comma"/>
    <tableColumn id="3" xr3:uid="{6B7BFBEE-41B2-47D4-BF71-B1DFD2534F20}" name="YoY" totalsRowFunction="average" totalsRowDxfId="85" dataCellStyle="Percent"/>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2D8F05-B25E-4729-AAAC-DF241B388F69}" name="Table15" displayName="Table15" ref="A22:C36" totalsRowCount="1" headerRowDxfId="84" tableBorderDxfId="83">
  <autoFilter ref="A22:C35" xr:uid="{978B3838-D12C-4DEE-8720-AAB06A4CC788}"/>
  <tableColumns count="3">
    <tableColumn id="1" xr3:uid="{AB74042A-8207-45D5-A61A-BEC3A57E0DF1}" name="Year" totalsRowLabel="Average"/>
    <tableColumn id="2" xr3:uid="{69DFCDBF-BA60-4EBA-B9BA-385D8584B487}" name="TAXES" dataDxfId="82" totalsRowDxfId="81" dataCellStyle="Comma"/>
    <tableColumn id="3" xr3:uid="{53A7B61F-BF06-4EC2-A7D7-106698A41DF9}" name="Tax Rate" totalsRowFunction="average" dataDxfId="80" totalsRowDxfId="79" dataCellStyle="Percent">
      <calculatedColumnFormula>Table15[[#This Row],[TAXES]]/Table167[[#This Row],[REVENUE]]</calculatedColumnFormula>
    </tableColumn>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AFAE4D-AAB3-45A1-8C70-AE8B8FA10D9C}" name="Table16" displayName="Table16" ref="I22:K36" totalsRowCount="1" headerRowDxfId="78" tableBorderDxfId="77">
  <autoFilter ref="I22:K35" xr:uid="{744E665F-181F-4B13-92E1-DC5A4CC0326D}"/>
  <tableColumns count="3">
    <tableColumn id="1" xr3:uid="{6E2C0D4D-8CAB-4374-AEE7-BE13A2768C0A}" name="Year" totalsRowLabel="Average"/>
    <tableColumn id="2" xr3:uid="{6AEDEA47-DA3F-4B09-B5FF-052A050E5D30}" name="REVENUE" dataDxfId="76" totalsRowDxfId="75" dataCellStyle="Comma"/>
    <tableColumn id="3" xr3:uid="{F8C42999-5757-46B6-9FF9-D919428F925B}" name="YoY" totalsRowFunction="average" totalsRowDxfId="74" dataCellStyle="Percent"/>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3C7080-ACDE-4469-AE83-71C308ED398E}" name="Table167" displayName="Table167" ref="E22:G36" totalsRowCount="1" headerRowDxfId="73" tableBorderDxfId="72">
  <autoFilter ref="E22:G35" xr:uid="{0FCDB3F9-4318-44A2-8DA9-68C53721E7A5}"/>
  <tableColumns count="3">
    <tableColumn id="1" xr3:uid="{12C53637-E16A-48F8-B66B-BEBDE06C055A}" name="Year" totalsRowLabel="Average"/>
    <tableColumn id="2" xr3:uid="{3A2ADDEB-5A44-435C-9539-108A21776853}" name="REVENUE" dataDxfId="71" totalsRowDxfId="70" dataCellStyle="Comma"/>
    <tableColumn id="3" xr3:uid="{13498EAB-C2C0-48F9-AE04-D00A0DE7D67A}" name="YoY" totalsRowFunction="average" totalsRowDxfId="69" dataCellStyle="Percent"/>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4E2C210-7B61-475B-87B4-E426CC2F16F1}" name="Table169" displayName="Table169" ref="A43:C57" totalsRowCount="1" headerRowDxfId="68" tableBorderDxfId="67">
  <autoFilter ref="A43:C56" xr:uid="{90DA18D1-607E-4DC6-8AE9-909C5D66CE22}"/>
  <tableColumns count="3">
    <tableColumn id="1" xr3:uid="{62DFB172-2F73-4097-A5C2-6F6187D2E78B}" name="Year" totalsRowLabel="Average"/>
    <tableColumn id="2" xr3:uid="{D1DAB61D-46B3-4FE6-8448-1062D14E47DD}" name="PP&amp;E" dataDxfId="66" totalsRowDxfId="65" dataCellStyle="Comma"/>
    <tableColumn id="3" xr3:uid="{C6EAB3B1-BF0E-48AA-80FB-DE0AA5A3D88C}" name="YoY" totalsRowFunction="average" totalsRowDxfId="64" dataCellStyle="Percent"/>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2FE43C-AF5B-4D6F-B361-F33F7250B9ED}" name="Table168" displayName="Table168" ref="M22:O36" totalsRowCount="1" headerRowDxfId="63" tableBorderDxfId="62">
  <autoFilter ref="M22:O35" xr:uid="{66CA7396-7DF9-4A87-A578-1AC3E70CA9AE}"/>
  <tableColumns count="3">
    <tableColumn id="1" xr3:uid="{C3434682-312E-497E-B996-8B908F6AD4F2}" name="Year" totalsRowLabel="Average"/>
    <tableColumn id="2" xr3:uid="{314F2E91-5D8B-48D6-922A-B4B7BB488A87}" name="COGS" dataDxfId="61" totalsRowDxfId="60" dataCellStyle="Comma"/>
    <tableColumn id="3" xr3:uid="{26DB7B0E-D1CA-4E15-9C2F-406AEC8115BC}" name="YoY" totalsRowFunction="average" totalsRowDxfId="59" dataCellStyle="Percent"/>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1DD3AA-70EB-42C7-A290-7C0D29498D9E}" name="Table16812" displayName="Table16812" ref="Q22:S36" totalsRowCount="1" headerRowDxfId="58" tableBorderDxfId="57">
  <autoFilter ref="Q22:S35" xr:uid="{E1DE2010-78CE-48B0-9074-FE1D58B5316A}"/>
  <tableColumns count="3">
    <tableColumn id="1" xr3:uid="{78713850-B4CB-444D-80FB-1216FBC0C86D}" name="Year" totalsRowLabel="Average"/>
    <tableColumn id="2" xr3:uid="{6E87FE65-136D-4681-A05F-99AFB17FE87E}" name="COGS" dataDxfId="56" totalsRowDxfId="55" dataCellStyle="Comma"/>
    <tableColumn id="3" xr3:uid="{D30B00AD-D41B-4227-872D-8A7814DDAF70}" name="YoY" totalsRowFunction="average" totalsRowDxfId="54" dataCellStyle="Percent"/>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A52689-5A6C-4917-BA8A-912FDC73BB3F}" name="Table16813" displayName="Table16813" ref="U22:W36" totalsRowCount="1" headerRowDxfId="53" tableBorderDxfId="52">
  <autoFilter ref="U22:W35" xr:uid="{699DAAC7-2507-4FCB-BA7C-0CF37D84DB3A}"/>
  <tableColumns count="3">
    <tableColumn id="1" xr3:uid="{55410900-0859-49A7-8309-A6DCD27AE4AC}" name="Year" totalsRowLabel="Average"/>
    <tableColumn id="2" xr3:uid="{528ED5C6-AB50-4B04-94C3-E2CB8CD17EAF}" name="COGS" dataDxfId="51" totalsRowDxfId="50" dataCellStyle="Comma"/>
    <tableColumn id="3" xr3:uid="{D02D8535-786F-4B6A-B0F3-DD8A5EF698A0}" name="YoY" totalsRowFunction="average" totalsRowDxfId="49" dataCellStyle="Percent"/>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20A55FE-578D-4895-9D4A-FEB18D7AE065}" name="Table1691014" displayName="Table1691014" ref="I43:K57" totalsRowCount="1" headerRowDxfId="48" tableBorderDxfId="47">
  <autoFilter ref="I43:K56" xr:uid="{1E733EB0-0448-4E92-9A27-CE230813610D}"/>
  <tableColumns count="3">
    <tableColumn id="1" xr3:uid="{CCE1C06B-969B-4422-B51B-07F235F1E5A8}" name="Year" totalsRowLabel="Average"/>
    <tableColumn id="2" xr3:uid="{D0DCDE29-022D-4436-B4E7-169444A62C42}" name="CURRENT ASSETS" dataDxfId="46" totalsRowDxfId="45" dataCellStyle="Comma"/>
    <tableColumn id="3" xr3:uid="{00BC002B-AE66-4CC7-99B6-908B4DB74820}" name="YoY" totalsRowFunction="average" totalsRowDxfId="44" dataCellStyle="Percent"/>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D390E72-C7BD-4B37-96AB-49CE6EE6F49F}" name="Table169101115" displayName="Table169101115" ref="M43:O57" totalsRowCount="1" headerRowDxfId="43" tableBorderDxfId="42">
  <autoFilter ref="M43:O56" xr:uid="{02AE8B17-5F59-460C-9722-5495D25FDD7C}"/>
  <tableColumns count="3">
    <tableColumn id="1" xr3:uid="{87E97A64-4117-4BD6-955A-381CE2FDEBE9}" name="Year" totalsRowLabel="Average"/>
    <tableColumn id="2" xr3:uid="{5F3DA252-5008-422A-8760-07B6FDC87329}" name="CURRENT LIABILITES" dataDxfId="41" totalsRowDxfId="40" dataCellStyle="Comma"/>
    <tableColumn id="3" xr3:uid="{2ADB7D53-B2C2-47FA-8B95-23FC70E56762}" name="YoY" totalsRowFunction="average" totalsRowDxfId="39" dataCellStyle="Percent"/>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FBDA1F1-DACB-4A19-958A-156AE20E8516}" name="Table16910" displayName="Table16910" ref="E43:G57" totalsRowCount="1" headerRowDxfId="38" tableBorderDxfId="37">
  <autoFilter ref="E43:G56" xr:uid="{0BC8879E-D2EA-478C-9CB7-B15C5E776CB5}"/>
  <tableColumns count="3">
    <tableColumn id="1" xr3:uid="{F2CC0AE9-68E3-4089-8A8F-A955A779F1F4}" name="Year" totalsRowLabel="Average"/>
    <tableColumn id="2" xr3:uid="{A124D0A6-36B1-4940-BC4B-72A0537B0416}" name="CONTENT ASSETS" dataDxfId="36" totalsRowDxfId="35" dataCellStyle="Comma"/>
    <tableColumn id="3" xr3:uid="{E2EAD33A-2958-45D5-9D01-E3DF05685C4C}" name="YoY" totalsRowFunction="average" totalsRowDxfId="34" dataCellStyle="Percent"/>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0047235-8A15-4202-8C67-6D521E576040}" name="Table1691011" displayName="Table1691011" ref="Q43:S57" totalsRowCount="1" headerRowDxfId="33" tableBorderDxfId="32">
  <autoFilter ref="Q43:S56" xr:uid="{21ED5D30-8135-4DBD-989E-73A3370AAA6B}"/>
  <tableColumns count="3">
    <tableColumn id="1" xr3:uid="{8F8686B0-635D-44FC-AC67-A55DAB1598BD}" name="Year" totalsRowLabel="Average"/>
    <tableColumn id="2" xr3:uid="{15CE9E35-9264-4276-A586-23207057A9D8}" name="NWC" dataDxfId="31" totalsRowDxfId="30" dataCellStyle="Comma">
      <calculatedColumnFormula>Table1691014[[#This Row],[CURRENT ASSETS]]-Table169101115[[#This Row],[CURRENT LIABILITES]]</calculatedColumnFormula>
    </tableColumn>
    <tableColumn id="3" xr3:uid="{95DA9A25-030B-42D9-B5F2-1FC849794050}" name="YoY" totalsRowFunction="average" totalsRowDxfId="29" dataCellStyle="Percent"/>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069F9EC-5715-46C2-830A-60E59978110B}" name="Table169101116" displayName="Table169101116" ref="U43:W57" totalsRowCount="1" headerRowDxfId="28" tableBorderDxfId="27">
  <autoFilter ref="U43:W56" xr:uid="{0E81DFB5-0EF7-4341-B2CA-A4488FEB8AAD}"/>
  <tableColumns count="3">
    <tableColumn id="1" xr3:uid="{12ECE1D8-6E75-46BB-9CDC-5F11912DF206}" name="Year" totalsRowLabel="Average"/>
    <tableColumn id="2" xr3:uid="{0EDB33AB-579F-46AC-BFBC-13AB0E1C5C70}" name="DELTA NWC" dataDxfId="26" totalsRowDxfId="25" dataCellStyle="Comma">
      <calculatedColumnFormula>Table1691011[[#This Row],[NWC]]-R45</calculatedColumnFormula>
    </tableColumn>
    <tableColumn id="3" xr3:uid="{C2BBD966-481B-4F2F-84A2-630FFE51774C}" name="YoY" totalsRowFunction="average" totalsRowDxfId="24" dataCellStyle="Percent"/>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43A49DF-D2D5-4850-A6C4-0F0D0449E35B}" name="Table1691017" displayName="Table1691017" ref="E61:G68" totalsRowCount="1" headerRowDxfId="23" tableBorderDxfId="22">
  <autoFilter ref="E61:G67" xr:uid="{27190C54-5C78-42D1-91F6-4E32B14DDF79}"/>
  <tableColumns count="3">
    <tableColumn id="1" xr3:uid="{E8A47439-A016-491A-9798-828D58D6FD96}" name="Year" totalsRowLabel="Average"/>
    <tableColumn id="2" xr3:uid="{DD994391-DE20-4F93-A22B-56F3AFCA58FA}" name="CONTENT ASSETS" dataDxfId="21" totalsRowDxfId="20" dataCellStyle="Comma"/>
    <tableColumn id="3" xr3:uid="{9D7F7288-9912-4FAD-B917-15CDEF7D3F05}" name="YoY" totalsRowFunction="average" totalsRowDxfId="19" dataCellStyle="Percent"/>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25C7975-9F1D-45A3-B29A-DA71E86537E0}" name="Table17" displayName="Table17" ref="A25:G37" totalsRowShown="0" headerRowBorderDxfId="7">
  <autoFilter ref="A25:G37" xr:uid="{DBFCFD42-87D1-45C2-94DA-4918AE19105A}"/>
  <tableColumns count="7">
    <tableColumn id="1" xr3:uid="{CD5E23EF-CAFA-4B78-8D74-E6969C79900E}" name="Date" dataDxfId="6" dataCellStyle="Normal_Income Statements"/>
    <tableColumn id="2" xr3:uid="{2867C5D3-69D3-4C1B-96D7-8BE7FD3D4154}" name="New Subscribers" dataDxfId="5" dataCellStyle="Comma"/>
    <tableColumn id="7" xr3:uid="{21287FF8-4951-42AF-BE4A-687748C62633}" name="New Subs Scaled" dataDxfId="4" dataCellStyle="Comma">
      <calculatedColumnFormula>(Table17[[#This Row],[New Subscribers]]-$J$26)/($K$26-$J$26)</calculatedColumnFormula>
    </tableColumn>
    <tableColumn id="4" xr3:uid="{E15C0786-87D0-44E2-87EA-45A6164B43F6}" name="Total Subscribers" dataDxfId="3" dataCellStyle="Comma"/>
    <tableColumn id="3" xr3:uid="{12BAB045-4566-4E13-9191-CBFC4F77F0DA}" name="Stock Price" dataDxfId="2" dataCellStyle="Currency"/>
    <tableColumn id="5" xr3:uid="{9E89E247-E13D-4B5C-8938-E733E76CAE8F}" name="Total Subs Scaled" dataDxfId="1" dataCellStyle="Comma">
      <calculatedColumnFormula>(Table17[[#This Row],[Total Subscribers]]-$J$27)/($K$27-$J$27)</calculatedColumnFormula>
    </tableColumn>
    <tableColumn id="6" xr3:uid="{E230D22C-E039-4954-9531-A9D385C34B12}" name="QoQ %" dataDxfId="0">
      <calculatedColumnFormula>Table17[[#This Row],[Total Subscribers]]/D25-1</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8" Type="http://schemas.openxmlformats.org/officeDocument/2006/relationships/table" Target="../tables/table21.xml"/><Relationship Id="rId13" Type="http://schemas.openxmlformats.org/officeDocument/2006/relationships/table" Target="../tables/table26.xml"/><Relationship Id="rId3" Type="http://schemas.openxmlformats.org/officeDocument/2006/relationships/table" Target="../tables/table16.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 Type="http://schemas.openxmlformats.org/officeDocument/2006/relationships/table" Target="../tables/table15.xml"/><Relationship Id="rId16" Type="http://schemas.openxmlformats.org/officeDocument/2006/relationships/table" Target="../tables/table29.xml"/><Relationship Id="rId1" Type="http://schemas.openxmlformats.org/officeDocument/2006/relationships/drawing" Target="../drawings/drawing17.xml"/><Relationship Id="rId6" Type="http://schemas.openxmlformats.org/officeDocument/2006/relationships/table" Target="../tables/table19.xml"/><Relationship Id="rId11" Type="http://schemas.openxmlformats.org/officeDocument/2006/relationships/table" Target="../tables/table24.xml"/><Relationship Id="rId5" Type="http://schemas.openxmlformats.org/officeDocument/2006/relationships/table" Target="../tables/table18.xml"/><Relationship Id="rId15" Type="http://schemas.openxmlformats.org/officeDocument/2006/relationships/table" Target="../tables/table28.xml"/><Relationship Id="rId10" Type="http://schemas.openxmlformats.org/officeDocument/2006/relationships/table" Target="../tables/table23.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18.xml"/><Relationship Id="rId1" Type="http://schemas.openxmlformats.org/officeDocument/2006/relationships/pivotTable" Target="../pivotTables/pivotTable2.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topLeftCell="A16" workbookViewId="0">
      <selection activeCell="O58" sqref="O58"/>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28A6-1E5E-4A05-9994-770DE3476031}">
  <dimension ref="B4:L17"/>
  <sheetViews>
    <sheetView showGridLines="0" workbookViewId="0">
      <selection activeCell="H30" sqref="H30"/>
    </sheetView>
  </sheetViews>
  <sheetFormatPr defaultRowHeight="14.25" x14ac:dyDescent="0.2"/>
  <cols>
    <col min="1" max="1" width="9.140625" style="175"/>
    <col min="2" max="2" width="11.42578125" style="175" bestFit="1" customWidth="1"/>
    <col min="3" max="3" width="21.5703125" style="175" bestFit="1" customWidth="1"/>
    <col min="4" max="4" width="16" style="175" bestFit="1" customWidth="1"/>
    <col min="5" max="5" width="15.5703125" style="175" bestFit="1" customWidth="1"/>
    <col min="6" max="6" width="6.7109375" style="175" bestFit="1" customWidth="1"/>
    <col min="7" max="7" width="8" style="175" bestFit="1" customWidth="1"/>
    <col min="8" max="8" width="15.7109375" style="175" bestFit="1" customWidth="1"/>
    <col min="9" max="9" width="12" style="175" bestFit="1" customWidth="1"/>
    <col min="10" max="16384" width="9.140625" style="175"/>
  </cols>
  <sheetData>
    <row r="4" spans="2:12" ht="18.75" thickBot="1" x14ac:dyDescent="0.3">
      <c r="B4" s="371" t="s">
        <v>337</v>
      </c>
      <c r="C4" s="372" t="s">
        <v>552</v>
      </c>
      <c r="D4" s="372" t="s">
        <v>584</v>
      </c>
      <c r="E4" s="372" t="s">
        <v>57</v>
      </c>
      <c r="F4" s="372" t="s">
        <v>553</v>
      </c>
      <c r="G4" s="372" t="s">
        <v>554</v>
      </c>
      <c r="H4" s="372" t="s">
        <v>47</v>
      </c>
      <c r="I4" s="373" t="s">
        <v>555</v>
      </c>
    </row>
    <row r="5" spans="2:12" ht="15" thickTop="1" x14ac:dyDescent="0.2">
      <c r="B5" s="374" t="s">
        <v>560</v>
      </c>
      <c r="C5" s="375" t="s">
        <v>561</v>
      </c>
      <c r="D5" s="376" t="s">
        <v>576</v>
      </c>
      <c r="E5" s="377" t="s">
        <v>567</v>
      </c>
      <c r="F5" s="377">
        <v>2</v>
      </c>
      <c r="G5" s="377" t="s">
        <v>559</v>
      </c>
      <c r="H5" s="377">
        <v>80</v>
      </c>
      <c r="I5" s="378">
        <v>184.7</v>
      </c>
    </row>
    <row r="6" spans="2:12" x14ac:dyDescent="0.2">
      <c r="B6" s="379" t="s">
        <v>556</v>
      </c>
      <c r="C6" s="380" t="s">
        <v>563</v>
      </c>
      <c r="D6" s="381" t="s">
        <v>575</v>
      </c>
      <c r="E6" s="382" t="s">
        <v>569</v>
      </c>
      <c r="F6" s="382">
        <v>5</v>
      </c>
      <c r="G6" s="382">
        <v>56.8</v>
      </c>
      <c r="H6" s="382">
        <v>42.2</v>
      </c>
      <c r="I6" s="383">
        <v>49.8</v>
      </c>
    </row>
    <row r="7" spans="2:12" x14ac:dyDescent="0.2">
      <c r="B7" s="374" t="s">
        <v>556</v>
      </c>
      <c r="C7" s="375" t="s">
        <v>562</v>
      </c>
      <c r="D7" s="376" t="s">
        <v>308</v>
      </c>
      <c r="E7" s="377" t="s">
        <v>568</v>
      </c>
      <c r="F7" s="377">
        <v>3.1</v>
      </c>
      <c r="G7" s="377">
        <v>44</v>
      </c>
      <c r="H7" s="377">
        <v>24.3</v>
      </c>
      <c r="I7" s="378">
        <v>57.8</v>
      </c>
    </row>
    <row r="8" spans="2:12" x14ac:dyDescent="0.2">
      <c r="B8" s="379" t="s">
        <v>556</v>
      </c>
      <c r="C8" s="380" t="s">
        <v>558</v>
      </c>
      <c r="D8" s="381" t="s">
        <v>301</v>
      </c>
      <c r="E8" s="382" t="s">
        <v>566</v>
      </c>
      <c r="F8" s="382">
        <v>2.9</v>
      </c>
      <c r="G8" s="382">
        <v>68.3</v>
      </c>
      <c r="H8" s="382">
        <v>22</v>
      </c>
      <c r="I8" s="383">
        <v>40.6</v>
      </c>
    </row>
    <row r="9" spans="2:12" x14ac:dyDescent="0.2">
      <c r="B9" s="374" t="s">
        <v>577</v>
      </c>
      <c r="C9" s="375" t="s">
        <v>578</v>
      </c>
      <c r="D9" s="376" t="s">
        <v>579</v>
      </c>
      <c r="E9" s="377" t="s">
        <v>580</v>
      </c>
      <c r="F9" s="377">
        <v>7</v>
      </c>
      <c r="G9" s="377">
        <v>26.3</v>
      </c>
      <c r="H9" s="377">
        <v>21</v>
      </c>
      <c r="I9" s="378">
        <v>23</v>
      </c>
    </row>
    <row r="10" spans="2:12" x14ac:dyDescent="0.2">
      <c r="B10" s="379" t="s">
        <v>571</v>
      </c>
      <c r="C10" s="382" t="s">
        <v>572</v>
      </c>
      <c r="D10" s="384" t="s">
        <v>574</v>
      </c>
      <c r="E10" s="382" t="s">
        <v>573</v>
      </c>
      <c r="F10" s="382">
        <v>2.8</v>
      </c>
      <c r="G10" s="382">
        <v>23.2</v>
      </c>
      <c r="H10" s="382">
        <v>9.4</v>
      </c>
      <c r="I10" s="383">
        <v>17.5</v>
      </c>
    </row>
    <row r="11" spans="2:12" x14ac:dyDescent="0.2">
      <c r="B11" s="374" t="s">
        <v>556</v>
      </c>
      <c r="C11" s="377" t="s">
        <v>581</v>
      </c>
      <c r="D11" s="385" t="s">
        <v>583</v>
      </c>
      <c r="E11" s="377" t="s">
        <v>582</v>
      </c>
      <c r="F11" s="377">
        <v>1.8</v>
      </c>
      <c r="G11" s="377">
        <v>14.5</v>
      </c>
      <c r="H11" s="377">
        <v>8.5</v>
      </c>
      <c r="I11" s="378">
        <v>14.1</v>
      </c>
    </row>
    <row r="12" spans="2:12" x14ac:dyDescent="0.2">
      <c r="B12" s="379" t="s">
        <v>556</v>
      </c>
      <c r="C12" s="380" t="s">
        <v>564</v>
      </c>
      <c r="D12" s="381" t="s">
        <v>302</v>
      </c>
      <c r="E12" s="382" t="s">
        <v>570</v>
      </c>
      <c r="F12" s="382">
        <v>0.8</v>
      </c>
      <c r="G12" s="382">
        <v>6.9</v>
      </c>
      <c r="H12" s="382">
        <v>5.3</v>
      </c>
      <c r="I12" s="383">
        <v>9.6</v>
      </c>
    </row>
    <row r="13" spans="2:12" x14ac:dyDescent="0.2">
      <c r="B13" s="386" t="s">
        <v>556</v>
      </c>
      <c r="C13" s="387" t="s">
        <v>557</v>
      </c>
      <c r="D13" s="388" t="s">
        <v>303</v>
      </c>
      <c r="E13" s="389" t="s">
        <v>565</v>
      </c>
      <c r="F13" s="389">
        <v>3.2</v>
      </c>
      <c r="G13" s="389">
        <v>18.7</v>
      </c>
      <c r="H13" s="389">
        <v>5.2</v>
      </c>
      <c r="I13" s="390">
        <v>13.7</v>
      </c>
    </row>
    <row r="15" spans="2:12" ht="18" x14ac:dyDescent="0.25">
      <c r="B15" s="393" t="s">
        <v>49</v>
      </c>
      <c r="C15" s="394"/>
      <c r="D15" s="394"/>
      <c r="E15" s="395"/>
      <c r="F15" s="392">
        <f>AVERAGE(F5:F13)</f>
        <v>3.177777777777778</v>
      </c>
      <c r="G15" s="392">
        <f t="shared" ref="G15:I15" si="0">AVERAGE(G5:G13)</f>
        <v>32.337499999999999</v>
      </c>
      <c r="H15" s="392">
        <f t="shared" si="0"/>
        <v>24.211111111111112</v>
      </c>
      <c r="I15" s="392">
        <f t="shared" si="0"/>
        <v>45.644444444444453</v>
      </c>
    </row>
    <row r="16" spans="2:12" ht="18" x14ac:dyDescent="0.25">
      <c r="B16" s="398" t="s">
        <v>80</v>
      </c>
      <c r="C16" s="399"/>
      <c r="D16" s="399"/>
      <c r="E16" s="400"/>
      <c r="F16" s="392">
        <f>MIN(F5:F13)</f>
        <v>0.8</v>
      </c>
      <c r="G16" s="392">
        <f>MIN(G5:G13)</f>
        <v>6.9</v>
      </c>
      <c r="H16" s="392">
        <f>MIN(H5:H13)</f>
        <v>5.2</v>
      </c>
      <c r="I16" s="392">
        <f>MIN(I5:I13)</f>
        <v>9.6</v>
      </c>
      <c r="L16" s="391"/>
    </row>
    <row r="17" spans="2:9" ht="18" x14ac:dyDescent="0.25">
      <c r="B17" s="398" t="s">
        <v>81</v>
      </c>
      <c r="C17" s="399"/>
      <c r="D17" s="399"/>
      <c r="E17" s="400"/>
      <c r="F17" s="392">
        <f>MAX(F5:F13)</f>
        <v>7</v>
      </c>
      <c r="G17" s="392">
        <f t="shared" ref="G17:I17" si="1">MAX(G5:G13)</f>
        <v>68.3</v>
      </c>
      <c r="H17" s="392">
        <f t="shared" si="1"/>
        <v>80</v>
      </c>
      <c r="I17" s="392">
        <f t="shared" si="1"/>
        <v>184.7</v>
      </c>
    </row>
  </sheetData>
  <mergeCells count="2">
    <mergeCell ref="B16:E16"/>
    <mergeCell ref="B17:E17"/>
  </mergeCells>
  <conditionalFormatting sqref="H5:H13">
    <cfRule type="iconSet" priority="4">
      <iconSet iconSet="5Rating" reverse="1">
        <cfvo type="percent" val="0"/>
        <cfvo type="percent" val="20"/>
        <cfvo type="percent" val="40"/>
        <cfvo type="percent" val="60"/>
        <cfvo type="percent" val="80"/>
      </iconSet>
    </cfRule>
  </conditionalFormatting>
  <conditionalFormatting sqref="F5:F13">
    <cfRule type="iconSet" priority="3">
      <iconSet iconSet="5Rating" reverse="1">
        <cfvo type="percent" val="0"/>
        <cfvo type="percent" val="20"/>
        <cfvo type="percent" val="40"/>
        <cfvo type="percent" val="60"/>
        <cfvo type="percent" val="80"/>
      </iconSet>
    </cfRule>
  </conditionalFormatting>
  <conditionalFormatting sqref="G5:G13">
    <cfRule type="iconSet" priority="2">
      <iconSet iconSet="5Rating" reverse="1">
        <cfvo type="percent" val="0"/>
        <cfvo type="percent" val="20"/>
        <cfvo type="percent" val="40"/>
        <cfvo type="percent" val="60"/>
        <cfvo type="percent" val="80"/>
      </iconSet>
    </cfRule>
  </conditionalFormatting>
  <conditionalFormatting sqref="I5:I13">
    <cfRule type="iconSet" priority="1">
      <iconSet iconSet="5Rating" reverse="1">
        <cfvo type="percent" val="0"/>
        <cfvo type="percent" val="20"/>
        <cfvo type="percent" val="40"/>
        <cfvo type="percent" val="60"/>
        <cfvo type="percent" val="80"/>
      </iconSet>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I224"/>
  <sheetViews>
    <sheetView showGridLines="0" tabSelected="1" topLeftCell="A4" zoomScaleNormal="100" workbookViewId="0">
      <selection activeCell="H20" sqref="H20"/>
    </sheetView>
  </sheetViews>
  <sheetFormatPr defaultColWidth="14.5703125" defaultRowHeight="14.25" x14ac:dyDescent="0.25"/>
  <cols>
    <col min="1" max="1" width="5.7109375" style="168" customWidth="1"/>
    <col min="2" max="2" width="42.42578125" style="168" bestFit="1" customWidth="1"/>
    <col min="3" max="3" width="6.7109375" style="168" bestFit="1" customWidth="1"/>
    <col min="4" max="4" width="18.5703125" style="168" bestFit="1" customWidth="1"/>
    <col min="5" max="5" width="14.85546875" style="168" bestFit="1" customWidth="1"/>
    <col min="6" max="6" width="11.5703125" style="168" bestFit="1" customWidth="1"/>
    <col min="7" max="7" width="12.5703125" style="168" bestFit="1" customWidth="1"/>
    <col min="8" max="8" width="11.5703125" style="168" bestFit="1" customWidth="1"/>
    <col min="9" max="9" width="13.5703125" style="168" bestFit="1" customWidth="1"/>
    <col min="10" max="10" width="12" style="168" bestFit="1" customWidth="1"/>
    <col min="11" max="11" width="14.5703125" style="168" bestFit="1" customWidth="1"/>
    <col min="12" max="12" width="11.85546875" style="168" bestFit="1" customWidth="1"/>
    <col min="13" max="16" width="11.5703125" style="168" bestFit="1" customWidth="1"/>
    <col min="17" max="17" width="14.7109375" style="173" bestFit="1" customWidth="1"/>
    <col min="18" max="18" width="10.28515625" style="173" bestFit="1" customWidth="1"/>
    <col min="19" max="19" width="13.7109375" style="173" bestFit="1" customWidth="1"/>
    <col min="20" max="20" width="8.28515625" style="173" bestFit="1" customWidth="1"/>
    <col min="21" max="21" width="13.5703125" style="173" bestFit="1" customWidth="1"/>
    <col min="22" max="22" width="12" style="173" bestFit="1" customWidth="1"/>
    <col min="23" max="23" width="5.7109375" style="173" customWidth="1"/>
    <col min="24" max="16384" width="14.5703125" style="168"/>
  </cols>
  <sheetData>
    <row r="1" spans="1:35" ht="25.5" x14ac:dyDescent="0.25">
      <c r="A1" s="166"/>
      <c r="B1" s="408" t="e" vm="1">
        <v>#VALUE!</v>
      </c>
      <c r="C1" s="408"/>
      <c r="D1" s="408"/>
      <c r="E1" s="408"/>
      <c r="F1" s="408"/>
      <c r="G1" s="408"/>
      <c r="H1" s="408"/>
      <c r="I1" s="166"/>
      <c r="J1" s="167"/>
      <c r="K1" s="167"/>
      <c r="L1" s="167"/>
      <c r="M1" s="167"/>
      <c r="N1" s="167"/>
      <c r="O1" s="167"/>
      <c r="P1" s="167"/>
      <c r="Q1" s="404" t="s">
        <v>75</v>
      </c>
      <c r="R1" s="404"/>
      <c r="S1" s="404"/>
      <c r="T1" s="404"/>
      <c r="U1" s="404"/>
      <c r="V1" s="404"/>
      <c r="W1" s="166"/>
    </row>
    <row r="2" spans="1:35" ht="21" thickBot="1" x14ac:dyDescent="0.3">
      <c r="A2" s="169"/>
      <c r="B2" s="286" t="s">
        <v>319</v>
      </c>
      <c r="C2" s="410" t="s">
        <v>76</v>
      </c>
      <c r="D2" s="410"/>
      <c r="E2" s="410"/>
      <c r="F2" s="410"/>
      <c r="G2" s="410"/>
      <c r="H2" s="410"/>
      <c r="I2" s="410"/>
      <c r="J2" s="410"/>
      <c r="K2" s="410"/>
      <c r="L2" s="410"/>
      <c r="M2" s="170"/>
      <c r="N2" s="170"/>
      <c r="O2" s="170"/>
      <c r="P2" s="170"/>
      <c r="Q2" s="405" t="s">
        <v>588</v>
      </c>
      <c r="R2" s="405"/>
      <c r="S2" s="405"/>
      <c r="T2" s="405"/>
      <c r="U2" s="405"/>
      <c r="V2" s="405"/>
      <c r="W2" s="169"/>
    </row>
    <row r="3" spans="1:35" x14ac:dyDescent="0.25">
      <c r="B3" s="171"/>
      <c r="E3" s="172"/>
      <c r="F3" s="172"/>
      <c r="G3" s="172"/>
      <c r="H3" s="172"/>
      <c r="I3" s="172"/>
      <c r="J3" s="172"/>
      <c r="K3" s="172"/>
      <c r="L3" s="172"/>
      <c r="M3" s="172"/>
    </row>
    <row r="4" spans="1:35" ht="18.75" thickBot="1" x14ac:dyDescent="0.25">
      <c r="B4" s="285" t="s">
        <v>36</v>
      </c>
      <c r="C4" s="184"/>
      <c r="D4" s="184"/>
      <c r="E4" s="173"/>
      <c r="F4" s="421" t="s">
        <v>306</v>
      </c>
      <c r="G4" s="421"/>
      <c r="H4" s="421"/>
      <c r="I4" s="421"/>
      <c r="J4" s="421"/>
      <c r="K4" s="421"/>
      <c r="M4" s="422" t="s">
        <v>309</v>
      </c>
      <c r="N4" s="422"/>
      <c r="O4" s="422"/>
      <c r="P4" s="422"/>
      <c r="Q4" s="422"/>
      <c r="R4" s="422"/>
      <c r="S4" s="422"/>
      <c r="T4" s="422"/>
      <c r="U4" s="422"/>
      <c r="V4" s="175"/>
      <c r="AA4" s="173"/>
      <c r="AD4" s="173"/>
      <c r="AE4" s="173"/>
      <c r="AF4" s="173"/>
      <c r="AG4" s="173"/>
    </row>
    <row r="5" spans="1:35" ht="15" thickBot="1" x14ac:dyDescent="0.3">
      <c r="B5" s="415" t="s">
        <v>286</v>
      </c>
      <c r="C5" s="415"/>
      <c r="D5" s="329">
        <v>0.03</v>
      </c>
      <c r="E5" s="173"/>
      <c r="G5" s="301">
        <v>2020</v>
      </c>
      <c r="H5" s="301">
        <v>2021</v>
      </c>
      <c r="I5" s="301" t="s">
        <v>84</v>
      </c>
      <c r="J5" s="299" t="s">
        <v>265</v>
      </c>
      <c r="K5" s="299" t="s">
        <v>299</v>
      </c>
      <c r="N5" s="303" t="s">
        <v>303</v>
      </c>
      <c r="O5" s="301" t="s">
        <v>312</v>
      </c>
      <c r="P5" s="303" t="s">
        <v>301</v>
      </c>
      <c r="Q5" s="303" t="s">
        <v>304</v>
      </c>
      <c r="R5" s="303" t="s">
        <v>302</v>
      </c>
      <c r="S5" s="303" t="s">
        <v>308</v>
      </c>
      <c r="T5" s="303" t="s">
        <v>265</v>
      </c>
      <c r="U5" s="303" t="s">
        <v>310</v>
      </c>
      <c r="AA5" s="173"/>
      <c r="AD5" s="173"/>
      <c r="AE5" s="173"/>
      <c r="AF5" s="173"/>
      <c r="AG5" s="173"/>
    </row>
    <row r="6" spans="1:35" x14ac:dyDescent="0.25">
      <c r="B6" s="415" t="s">
        <v>234</v>
      </c>
      <c r="C6" s="415"/>
      <c r="D6" s="329">
        <v>3.5000000000000003E-2</v>
      </c>
      <c r="E6" s="173"/>
      <c r="F6" s="267" t="s">
        <v>275</v>
      </c>
      <c r="G6" s="296">
        <f>73936/1000</f>
        <v>73.936000000000007</v>
      </c>
      <c r="H6" s="296">
        <v>75.215000000000003</v>
      </c>
      <c r="I6" s="295">
        <f>H6/G6-1</f>
        <v>1.7298744860419824E-2</v>
      </c>
      <c r="J6" s="296">
        <f>10.5+122.8</f>
        <v>133.30000000000001</v>
      </c>
      <c r="K6" s="300">
        <f t="shared" ref="K6:K11" si="0">G6/J6</f>
        <v>0.55465866466616653</v>
      </c>
      <c r="M6" s="267" t="s">
        <v>275</v>
      </c>
      <c r="N6" s="306">
        <f>H6</f>
        <v>75.215000000000003</v>
      </c>
      <c r="O6" s="295">
        <f>N6/T6</f>
        <v>0.35360245598560464</v>
      </c>
      <c r="P6" s="297">
        <v>42.9</v>
      </c>
      <c r="Q6" s="307">
        <f>N6/$N$11*$Q$11</f>
        <v>15.25700492237789</v>
      </c>
      <c r="R6" s="307">
        <f>N6/$N$11*$R$11</f>
        <v>26.038621734191597</v>
      </c>
      <c r="S6" s="307">
        <v>53.3</v>
      </c>
      <c r="T6" s="314">
        <f>SUM(N6,P6:S6)</f>
        <v>212.7106266565695</v>
      </c>
      <c r="U6" s="315">
        <f>(J6-T6)/J6</f>
        <v>-0.59572863208229165</v>
      </c>
      <c r="AA6" s="173"/>
      <c r="AD6" s="173"/>
      <c r="AE6" s="173"/>
      <c r="AF6" s="173"/>
      <c r="AG6" s="173"/>
    </row>
    <row r="7" spans="1:35" x14ac:dyDescent="0.25">
      <c r="B7" s="415" t="s">
        <v>38</v>
      </c>
      <c r="C7" s="415"/>
      <c r="D7" s="330">
        <v>44562</v>
      </c>
      <c r="E7" s="173"/>
      <c r="F7" s="267" t="s">
        <v>294</v>
      </c>
      <c r="G7" s="297">
        <f>66698/1000</f>
        <v>66.697999999999993</v>
      </c>
      <c r="H7" s="297">
        <v>74.036000000000001</v>
      </c>
      <c r="I7" s="295">
        <f>H7/G7-1</f>
        <v>0.11001829140304076</v>
      </c>
      <c r="J7" s="297">
        <f>195.4+463298595/6/1000000+1398488112/7/1000000</f>
        <v>472.40044849999998</v>
      </c>
      <c r="K7" s="300">
        <f t="shared" si="0"/>
        <v>0.14118953572500681</v>
      </c>
      <c r="M7" s="267" t="s">
        <v>294</v>
      </c>
      <c r="N7" s="306">
        <f t="shared" ref="N7:N9" si="1">H7</f>
        <v>74.036000000000001</v>
      </c>
      <c r="O7" s="295">
        <f t="shared" ref="O7:O10" si="2">N7/T7</f>
        <v>0.39850511593066507</v>
      </c>
      <c r="P7" s="313">
        <v>41.1</v>
      </c>
      <c r="Q7" s="307">
        <f>N7/$N$11*$Q$11</f>
        <v>15.017850381349056</v>
      </c>
      <c r="R7" s="307">
        <f>N7/$N$11*$R$11</f>
        <v>25.630464650835723</v>
      </c>
      <c r="S7" s="308">
        <v>30</v>
      </c>
      <c r="T7" s="314">
        <f t="shared" ref="T7:T10" si="3">SUM(N7,P7:S7)</f>
        <v>185.78431503218479</v>
      </c>
      <c r="U7" s="315">
        <f>(J7-T7)/J7</f>
        <v>0.60672282250768272</v>
      </c>
      <c r="AA7" s="173"/>
      <c r="AD7" s="173"/>
      <c r="AE7" s="173"/>
      <c r="AF7" s="173"/>
      <c r="AG7" s="173"/>
    </row>
    <row r="8" spans="1:35" x14ac:dyDescent="0.25">
      <c r="B8" s="415" t="s">
        <v>39</v>
      </c>
      <c r="C8" s="415"/>
      <c r="D8" s="330">
        <v>44561</v>
      </c>
      <c r="E8" s="173"/>
      <c r="F8" s="267" t="s">
        <v>295</v>
      </c>
      <c r="G8" s="298">
        <f>37537/1000</f>
        <v>37.536999999999999</v>
      </c>
      <c r="H8" s="298">
        <v>39.960999999999999</v>
      </c>
      <c r="I8" s="295">
        <f t="shared" ref="I8:I10" si="4">H8/G8-1</f>
        <v>6.4576284732397404E-2</v>
      </c>
      <c r="J8" s="298">
        <f>652276325/5/1000000</f>
        <v>130.455265</v>
      </c>
      <c r="K8" s="300">
        <f t="shared" si="0"/>
        <v>0.2877384826131778</v>
      </c>
      <c r="M8" s="267" t="s">
        <v>295</v>
      </c>
      <c r="N8" s="306">
        <f t="shared" si="1"/>
        <v>39.960999999999999</v>
      </c>
      <c r="O8" s="295">
        <f t="shared" si="2"/>
        <v>0.59731574050202918</v>
      </c>
      <c r="P8" s="313">
        <v>0</v>
      </c>
      <c r="Q8" s="307">
        <f>N8/$N$11*$Q$11</f>
        <v>8.1058987396548918</v>
      </c>
      <c r="R8" s="307">
        <f>N8/$N$11*$R$11</f>
        <v>13.83406718234435</v>
      </c>
      <c r="S8" s="304">
        <v>5</v>
      </c>
      <c r="T8" s="314">
        <f t="shared" si="3"/>
        <v>66.900965921999244</v>
      </c>
      <c r="U8" s="315">
        <f>(J8-T8)/J8</f>
        <v>0.48717312465695234</v>
      </c>
      <c r="AA8" s="173"/>
      <c r="AD8" s="173"/>
      <c r="AE8" s="173"/>
      <c r="AF8" s="173"/>
      <c r="AG8" s="173"/>
    </row>
    <row r="9" spans="1:35" x14ac:dyDescent="0.25">
      <c r="B9" s="415" t="s">
        <v>283</v>
      </c>
      <c r="C9" s="415"/>
      <c r="D9" s="330">
        <v>46753</v>
      </c>
      <c r="E9" s="173"/>
      <c r="F9" s="267" t="s">
        <v>296</v>
      </c>
      <c r="G9" s="296">
        <f>25492/1000</f>
        <v>25.492000000000001</v>
      </c>
      <c r="H9" s="296">
        <f>32.632</f>
        <v>32.631999999999998</v>
      </c>
      <c r="I9" s="295">
        <f t="shared" si="4"/>
        <v>0.28008787070453467</v>
      </c>
      <c r="J9" s="296">
        <f>4712551399/7/1000000</f>
        <v>673.22162842857142</v>
      </c>
      <c r="K9" s="300">
        <f t="shared" si="0"/>
        <v>3.7865687796607525E-2</v>
      </c>
      <c r="M9" s="267" t="s">
        <v>296</v>
      </c>
      <c r="N9" s="306">
        <f t="shared" si="1"/>
        <v>32.631999999999998</v>
      </c>
      <c r="O9" s="295">
        <f t="shared" si="2"/>
        <v>0.2391532151795164</v>
      </c>
      <c r="P9" s="298">
        <v>45.9</v>
      </c>
      <c r="Q9" s="307">
        <f>N9/$N$11*$Q$11</f>
        <v>6.6192459566181645</v>
      </c>
      <c r="R9" s="307">
        <f>N9/$N$11*$R$11</f>
        <v>11.296846432628334</v>
      </c>
      <c r="S9" s="307">
        <v>40</v>
      </c>
      <c r="T9" s="314">
        <f t="shared" si="3"/>
        <v>136.44809238924648</v>
      </c>
      <c r="U9" s="315">
        <f>(J9-T9)/J9</f>
        <v>0.79732069406661432</v>
      </c>
      <c r="AA9" s="173"/>
      <c r="AB9" s="173"/>
      <c r="AC9" s="173"/>
      <c r="AD9" s="173"/>
      <c r="AE9" s="173"/>
      <c r="AF9" s="173"/>
      <c r="AG9" s="173"/>
    </row>
    <row r="10" spans="1:35" x14ac:dyDescent="0.25">
      <c r="B10" s="415" t="s">
        <v>40</v>
      </c>
      <c r="C10" s="415"/>
      <c r="D10" s="342">
        <v>170</v>
      </c>
      <c r="E10" s="173"/>
      <c r="F10" s="267" t="s">
        <v>298</v>
      </c>
      <c r="G10" s="297">
        <v>1</v>
      </c>
      <c r="H10" s="297">
        <v>1</v>
      </c>
      <c r="I10" s="295">
        <f t="shared" si="4"/>
        <v>0</v>
      </c>
      <c r="J10" s="297">
        <f>SUM(J6:J9)*0.1</f>
        <v>140.93773419285716</v>
      </c>
      <c r="K10" s="300">
        <f t="shared" si="0"/>
        <v>7.0953318905468878E-3</v>
      </c>
      <c r="M10" s="267" t="s">
        <v>298</v>
      </c>
      <c r="N10" s="306">
        <v>0</v>
      </c>
      <c r="O10" s="295">
        <f t="shared" si="2"/>
        <v>0</v>
      </c>
      <c r="P10" s="306">
        <v>0</v>
      </c>
      <c r="Q10" s="307">
        <f>N10/$N$11*$Q$11</f>
        <v>0</v>
      </c>
      <c r="R10" s="307">
        <f>N10/$N$11*$R$11</f>
        <v>0</v>
      </c>
      <c r="S10" s="307">
        <v>2</v>
      </c>
      <c r="T10" s="314">
        <f t="shared" si="3"/>
        <v>2</v>
      </c>
      <c r="U10" s="315">
        <f>(J10-T10)/J10</f>
        <v>0.98580933621890621</v>
      </c>
      <c r="AA10" s="174"/>
      <c r="AB10" s="174"/>
      <c r="AC10" s="173"/>
      <c r="AD10" s="173"/>
      <c r="AE10" s="173"/>
      <c r="AF10" s="173"/>
      <c r="AG10" s="173"/>
    </row>
    <row r="11" spans="1:35" ht="15" thickBot="1" x14ac:dyDescent="0.3">
      <c r="B11" s="415" t="s">
        <v>41</v>
      </c>
      <c r="C11" s="415"/>
      <c r="D11" s="331">
        <v>444.27</v>
      </c>
      <c r="E11" s="173"/>
      <c r="F11" s="340" t="s">
        <v>297</v>
      </c>
      <c r="G11" s="324">
        <f>SUM(G6:G10)</f>
        <v>204.66300000000001</v>
      </c>
      <c r="H11" s="324">
        <f>SUM(H6:H10)</f>
        <v>222.84399999999999</v>
      </c>
      <c r="I11" s="325">
        <f>H11/G11-1</f>
        <v>8.8833839042719021E-2</v>
      </c>
      <c r="J11" s="324">
        <f>SUM(J6:J10)</f>
        <v>1550.3150761214285</v>
      </c>
      <c r="K11" s="324">
        <f t="shared" si="0"/>
        <v>0.13201381006499982</v>
      </c>
      <c r="M11" s="340" t="s">
        <v>297</v>
      </c>
      <c r="N11" s="324">
        <f>SUM(N6:N10)</f>
        <v>221.84399999999999</v>
      </c>
      <c r="O11" s="325">
        <f>N11/T11</f>
        <v>0.36738627857526113</v>
      </c>
      <c r="P11" s="324">
        <f>SUM(P6:P10)</f>
        <v>129.9</v>
      </c>
      <c r="Q11" s="324">
        <v>45</v>
      </c>
      <c r="R11" s="324">
        <v>76.8</v>
      </c>
      <c r="S11" s="324">
        <f>SUM(S6:S10)</f>
        <v>130.30000000000001</v>
      </c>
      <c r="T11" s="324">
        <f>SUM(T6:T10)</f>
        <v>603.84400000000005</v>
      </c>
      <c r="U11" s="326">
        <f>SUM(U6:U10)</f>
        <v>2.281297345367864</v>
      </c>
      <c r="AA11" s="173"/>
      <c r="AB11" s="173"/>
      <c r="AC11" s="173"/>
      <c r="AD11" s="173"/>
      <c r="AE11" s="173"/>
      <c r="AF11" s="173"/>
      <c r="AG11" s="173"/>
    </row>
    <row r="12" spans="1:35" ht="15" thickTop="1" x14ac:dyDescent="0.25">
      <c r="B12" s="415" t="s">
        <v>42</v>
      </c>
      <c r="C12" s="415"/>
      <c r="D12" s="343">
        <f>'Balance Sheet'!N26/1000</f>
        <v>14693.072</v>
      </c>
      <c r="E12" s="173"/>
      <c r="F12" s="173"/>
      <c r="G12" s="173"/>
      <c r="AA12" s="173"/>
      <c r="AB12" s="173"/>
      <c r="AC12" s="173"/>
      <c r="AD12" s="173"/>
      <c r="AE12" s="173"/>
      <c r="AF12" s="173"/>
      <c r="AG12" s="173"/>
    </row>
    <row r="13" spans="1:35" ht="15" thickBot="1" x14ac:dyDescent="0.3">
      <c r="B13" s="415" t="s">
        <v>43</v>
      </c>
      <c r="C13" s="415"/>
      <c r="D13" s="343">
        <f>'Balance Sheet'!N10/1000</f>
        <v>6027.8040000000001</v>
      </c>
      <c r="E13" s="173"/>
      <c r="F13" s="173"/>
      <c r="G13" s="173"/>
      <c r="X13" s="173"/>
      <c r="Y13" s="173"/>
      <c r="Z13" s="173"/>
      <c r="AA13" s="173"/>
      <c r="AB13" s="173"/>
      <c r="AC13" s="173"/>
      <c r="AD13" s="173"/>
      <c r="AE13" s="173"/>
      <c r="AF13" s="173"/>
      <c r="AG13" s="173"/>
    </row>
    <row r="14" spans="1:35" ht="15" thickBot="1" x14ac:dyDescent="0.3">
      <c r="B14" s="182" t="s">
        <v>332</v>
      </c>
      <c r="C14" s="182"/>
      <c r="D14" s="397">
        <v>0.5</v>
      </c>
      <c r="E14" s="173"/>
      <c r="F14" s="173"/>
      <c r="G14" s="173"/>
      <c r="X14" s="173"/>
      <c r="Y14" s="173"/>
      <c r="Z14" s="173"/>
      <c r="AA14" s="173"/>
      <c r="AB14" s="173"/>
      <c r="AC14" s="173"/>
      <c r="AD14" s="173"/>
      <c r="AE14" s="173"/>
      <c r="AF14" s="173"/>
      <c r="AG14" s="173"/>
    </row>
    <row r="15" spans="1:35" x14ac:dyDescent="0.25">
      <c r="B15" s="173"/>
      <c r="C15" s="173"/>
      <c r="D15" s="173"/>
      <c r="E15" s="173"/>
      <c r="F15" s="173"/>
      <c r="G15" s="173"/>
      <c r="H15" s="171"/>
      <c r="I15" s="173"/>
      <c r="J15" s="173"/>
      <c r="K15" s="173"/>
      <c r="X15" s="173"/>
      <c r="Y15" s="173"/>
      <c r="Z15" s="173"/>
      <c r="AA15" s="173"/>
      <c r="AB15" s="173"/>
      <c r="AC15" s="173"/>
      <c r="AD15" s="173"/>
      <c r="AE15" s="173"/>
      <c r="AF15" s="173"/>
      <c r="AG15" s="173"/>
    </row>
    <row r="16" spans="1:35" ht="18" x14ac:dyDescent="0.2">
      <c r="B16" s="284" t="s">
        <v>314</v>
      </c>
      <c r="C16" s="284"/>
      <c r="D16" s="406" t="s">
        <v>333</v>
      </c>
      <c r="E16" s="406"/>
      <c r="F16" s="406"/>
      <c r="G16" s="406"/>
      <c r="H16" s="175"/>
      <c r="I16" s="411" t="s">
        <v>305</v>
      </c>
      <c r="J16" s="411"/>
      <c r="K16" s="411"/>
      <c r="L16" s="411"/>
      <c r="M16" s="411"/>
      <c r="Q16" s="168"/>
      <c r="R16" s="168"/>
      <c r="X16" s="173"/>
      <c r="Y16" s="173"/>
      <c r="Z16" s="173"/>
      <c r="AA16" s="173"/>
      <c r="AB16" s="173"/>
      <c r="AC16" s="173"/>
      <c r="AD16" s="173"/>
      <c r="AE16" s="173"/>
      <c r="AF16" s="173"/>
      <c r="AG16" s="173"/>
      <c r="AH16" s="173"/>
      <c r="AI16" s="173"/>
    </row>
    <row r="17" spans="2:35" ht="15" thickBot="1" x14ac:dyDescent="0.3">
      <c r="B17" s="423" t="s">
        <v>87</v>
      </c>
      <c r="C17" s="423"/>
      <c r="D17" s="173"/>
      <c r="E17" s="423" t="s">
        <v>288</v>
      </c>
      <c r="F17" s="423"/>
      <c r="H17" s="171"/>
      <c r="J17" s="303" t="s">
        <v>112</v>
      </c>
      <c r="K17" s="303" t="s">
        <v>307</v>
      </c>
      <c r="L17" s="303" t="s">
        <v>300</v>
      </c>
      <c r="M17" s="303" t="s">
        <v>307</v>
      </c>
      <c r="Q17" s="168"/>
      <c r="R17" s="168"/>
      <c r="X17" s="173"/>
      <c r="Y17" s="173"/>
      <c r="AC17" s="173"/>
      <c r="AD17" s="173"/>
      <c r="AE17" s="173"/>
      <c r="AF17" s="173"/>
      <c r="AG17" s="173"/>
      <c r="AH17" s="173"/>
      <c r="AI17" s="173"/>
    </row>
    <row r="18" spans="2:35" ht="15" thickBot="1" x14ac:dyDescent="0.3">
      <c r="B18" s="168" t="s">
        <v>269</v>
      </c>
      <c r="D18" s="176" t="s">
        <v>233</v>
      </c>
      <c r="E18" s="403" t="s">
        <v>292</v>
      </c>
      <c r="F18" s="403"/>
      <c r="G18" s="176" t="s">
        <v>233</v>
      </c>
      <c r="H18" s="171"/>
      <c r="I18" s="267" t="s">
        <v>301</v>
      </c>
      <c r="J18" s="306">
        <v>7200</v>
      </c>
      <c r="K18" s="294">
        <f>J18/$J$23</f>
        <v>0.14314684480496243</v>
      </c>
      <c r="L18" s="298">
        <v>129.80000000000001</v>
      </c>
      <c r="M18" s="294">
        <f>L18/$L$23</f>
        <v>0.1815019073081785</v>
      </c>
      <c r="Q18" s="168"/>
      <c r="R18" s="168"/>
      <c r="X18" s="173"/>
      <c r="Y18" s="173"/>
      <c r="AC18" s="173"/>
      <c r="AD18" s="173"/>
      <c r="AE18" s="173"/>
      <c r="AF18" s="173"/>
      <c r="AG18" s="173"/>
      <c r="AH18" s="173"/>
      <c r="AI18" s="173"/>
    </row>
    <row r="19" spans="2:35" ht="15" thickBot="1" x14ac:dyDescent="0.3">
      <c r="B19" s="168" t="s">
        <v>270</v>
      </c>
      <c r="D19" s="177" t="s">
        <v>236</v>
      </c>
      <c r="E19" s="403" t="s">
        <v>289</v>
      </c>
      <c r="F19" s="403"/>
      <c r="G19" s="176" t="s">
        <v>236</v>
      </c>
      <c r="H19" s="171"/>
      <c r="I19" s="267" t="s">
        <v>308</v>
      </c>
      <c r="J19" s="310">
        <v>4200</v>
      </c>
      <c r="K19" s="311">
        <f>J19/$J$23</f>
        <v>8.3502326136228086E-2</v>
      </c>
      <c r="L19" s="312">
        <v>117</v>
      </c>
      <c r="M19" s="311">
        <f>L19/$L$23</f>
        <v>0.16360341413757229</v>
      </c>
      <c r="Q19" s="168"/>
      <c r="R19" s="168"/>
      <c r="X19" s="173"/>
      <c r="Y19" s="173"/>
      <c r="AC19" s="173"/>
      <c r="AD19" s="173"/>
      <c r="AE19" s="173"/>
      <c r="AF19" s="173"/>
      <c r="AG19" s="173"/>
      <c r="AH19" s="173"/>
      <c r="AI19" s="173"/>
    </row>
    <row r="20" spans="2:35" ht="15" thickBot="1" x14ac:dyDescent="0.3">
      <c r="B20" s="168" t="s">
        <v>271</v>
      </c>
      <c r="D20" s="177" t="s">
        <v>236</v>
      </c>
      <c r="E20" s="424" t="s">
        <v>293</v>
      </c>
      <c r="F20" s="425"/>
      <c r="G20" s="176" t="s">
        <v>236</v>
      </c>
      <c r="I20" s="267" t="s">
        <v>302</v>
      </c>
      <c r="J20" s="304">
        <v>4400</v>
      </c>
      <c r="K20" s="294">
        <f>J20/$J$23</f>
        <v>8.7478627380810373E-2</v>
      </c>
      <c r="L20" s="313">
        <v>73.8</v>
      </c>
      <c r="M20" s="294">
        <f>L20/$L$23</f>
        <v>0.10319599968677637</v>
      </c>
      <c r="Q20" s="168"/>
      <c r="R20" s="168"/>
      <c r="X20" s="173"/>
      <c r="Y20" s="173"/>
      <c r="AC20" s="173"/>
      <c r="AD20" s="173"/>
      <c r="AE20" s="173"/>
      <c r="AF20" s="173"/>
      <c r="AG20" s="173"/>
      <c r="AH20" s="173"/>
      <c r="AI20" s="173"/>
    </row>
    <row r="21" spans="2:35" ht="15" thickBot="1" x14ac:dyDescent="0.3">
      <c r="B21" s="168" t="s">
        <v>272</v>
      </c>
      <c r="D21" s="177" t="s">
        <v>236</v>
      </c>
      <c r="E21" s="424" t="s">
        <v>311</v>
      </c>
      <c r="F21" s="425"/>
      <c r="G21" s="176" t="s">
        <v>236</v>
      </c>
      <c r="I21" s="267" t="s">
        <v>304</v>
      </c>
      <c r="J21" s="305">
        <v>4800</v>
      </c>
      <c r="K21" s="294">
        <f>J21/$J$23</f>
        <v>9.5431229869974946E-2</v>
      </c>
      <c r="L21" s="298">
        <v>171.7</v>
      </c>
      <c r="M21" s="294">
        <f>L21/$L$23</f>
        <v>0.2400915060463347</v>
      </c>
      <c r="Q21" s="168"/>
      <c r="R21" s="168"/>
      <c r="X21" s="173"/>
      <c r="Y21" s="173"/>
      <c r="AC21" s="173"/>
      <c r="AD21" s="173"/>
      <c r="AE21" s="173"/>
      <c r="AF21" s="173"/>
      <c r="AG21" s="173"/>
      <c r="AH21" s="173"/>
      <c r="AI21" s="173"/>
    </row>
    <row r="22" spans="2:35" ht="15" thickBot="1" x14ac:dyDescent="0.3">
      <c r="B22" s="403" t="s">
        <v>589</v>
      </c>
      <c r="C22" s="427"/>
      <c r="D22" s="176" t="s">
        <v>233</v>
      </c>
      <c r="E22" s="426" t="s">
        <v>85</v>
      </c>
      <c r="F22" s="426"/>
      <c r="G22" s="176" t="s">
        <v>236</v>
      </c>
      <c r="I22" s="267" t="s">
        <v>303</v>
      </c>
      <c r="J22" s="305">
        <f>$I$46</f>
        <v>29698</v>
      </c>
      <c r="K22" s="294">
        <f>J22/$J$23</f>
        <v>0.59044097180802413</v>
      </c>
      <c r="L22" s="298">
        <f>$H$11</f>
        <v>222.84399999999999</v>
      </c>
      <c r="M22" s="294">
        <f>L22/$L$23</f>
        <v>0.31160717282113809</v>
      </c>
      <c r="Q22" s="168"/>
      <c r="R22" s="168"/>
      <c r="X22" s="173"/>
      <c r="Y22" s="173"/>
      <c r="AC22" s="173"/>
      <c r="AD22" s="173"/>
      <c r="AE22" s="173"/>
      <c r="AF22" s="173"/>
      <c r="AG22" s="173"/>
      <c r="AH22" s="173"/>
      <c r="AI22" s="173"/>
    </row>
    <row r="23" spans="2:35" ht="15" thickBot="1" x14ac:dyDescent="0.3">
      <c r="B23" s="171" t="s">
        <v>47</v>
      </c>
      <c r="C23" s="171"/>
      <c r="D23" s="176" t="s">
        <v>233</v>
      </c>
      <c r="E23" s="291" t="s">
        <v>280</v>
      </c>
      <c r="F23" s="292"/>
      <c r="G23" s="176" t="s">
        <v>233</v>
      </c>
      <c r="I23" s="340" t="s">
        <v>297</v>
      </c>
      <c r="J23" s="327">
        <f>SUM(J18:J22)</f>
        <v>50298</v>
      </c>
      <c r="K23" s="326">
        <f>SUM(K18:K22)</f>
        <v>1</v>
      </c>
      <c r="L23" s="327">
        <f>SUM(L18:L22)</f>
        <v>715.14400000000001</v>
      </c>
      <c r="M23" s="326">
        <f>SUM(M18:M22)</f>
        <v>1</v>
      </c>
      <c r="Q23" s="168"/>
      <c r="R23" s="168"/>
      <c r="X23" s="173"/>
      <c r="Y23" s="173"/>
      <c r="AC23" s="173"/>
      <c r="AD23" s="173"/>
      <c r="AE23" s="173"/>
      <c r="AF23" s="173"/>
      <c r="AG23" s="173"/>
      <c r="AH23" s="173"/>
      <c r="AI23" s="173"/>
    </row>
    <row r="24" spans="2:35" ht="15" thickBot="1" x14ac:dyDescent="0.3">
      <c r="B24" s="171" t="s">
        <v>89</v>
      </c>
      <c r="C24" s="171"/>
      <c r="D24" s="178" t="s">
        <v>233</v>
      </c>
      <c r="E24" s="291" t="s">
        <v>273</v>
      </c>
      <c r="F24" s="292"/>
      <c r="G24" s="176" t="s">
        <v>233</v>
      </c>
      <c r="Y24" s="173"/>
      <c r="Z24" s="173"/>
      <c r="AA24" s="173"/>
      <c r="AB24" s="173"/>
      <c r="AC24" s="173"/>
      <c r="AD24" s="173"/>
      <c r="AE24" s="173"/>
      <c r="AF24" s="173"/>
      <c r="AG24" s="173"/>
    </row>
    <row r="25" spans="2:35" ht="15" thickBot="1" x14ac:dyDescent="0.3">
      <c r="B25" s="171" t="s">
        <v>274</v>
      </c>
      <c r="C25" s="171"/>
      <c r="D25" s="176" t="s">
        <v>233</v>
      </c>
      <c r="E25" s="171" t="s">
        <v>278</v>
      </c>
      <c r="F25" s="171"/>
      <c r="G25" s="179" t="s">
        <v>233</v>
      </c>
      <c r="Y25" s="173"/>
      <c r="Z25" s="173"/>
      <c r="AA25" s="173"/>
      <c r="AB25" s="173"/>
      <c r="AC25" s="173"/>
      <c r="AD25" s="173"/>
      <c r="AE25" s="173"/>
      <c r="AF25" s="173"/>
      <c r="AG25" s="173"/>
    </row>
    <row r="26" spans="2:35" s="345" customFormat="1" ht="15.75" thickBot="1" x14ac:dyDescent="0.3">
      <c r="B26" s="346" t="s">
        <v>551</v>
      </c>
      <c r="C26" s="346"/>
      <c r="D26" s="176" t="s">
        <v>49</v>
      </c>
      <c r="E26"/>
      <c r="F26"/>
      <c r="G26"/>
      <c r="Q26" s="173"/>
      <c r="R26" s="173"/>
      <c r="S26" s="173"/>
      <c r="T26" s="173"/>
      <c r="U26" s="173"/>
      <c r="V26" s="173"/>
      <c r="W26" s="173"/>
      <c r="Y26" s="173"/>
      <c r="Z26" s="173"/>
      <c r="AA26" s="173"/>
      <c r="AB26" s="173"/>
      <c r="AC26" s="173"/>
      <c r="AD26" s="173"/>
      <c r="AE26" s="173"/>
      <c r="AF26" s="173"/>
      <c r="AG26" s="173"/>
    </row>
    <row r="27" spans="2:35" x14ac:dyDescent="0.25">
      <c r="Y27" s="173"/>
      <c r="Z27" s="173"/>
      <c r="AA27" s="173"/>
      <c r="AB27" s="173"/>
      <c r="AC27" s="173"/>
      <c r="AD27" s="173"/>
      <c r="AE27" s="173"/>
      <c r="AF27" s="173"/>
      <c r="AG27" s="173"/>
    </row>
    <row r="28" spans="2:35" x14ac:dyDescent="0.2">
      <c r="B28" s="175"/>
      <c r="C28" s="175"/>
      <c r="D28" s="175"/>
      <c r="Y28" s="173"/>
      <c r="Z28" s="173"/>
      <c r="AA28" s="173"/>
      <c r="AB28" s="173"/>
      <c r="AC28" s="173"/>
      <c r="AD28" s="173"/>
      <c r="AE28" s="173"/>
      <c r="AF28" s="173"/>
      <c r="AG28" s="173"/>
    </row>
    <row r="29" spans="2:35" ht="18" x14ac:dyDescent="0.25">
      <c r="B29" s="414" t="s">
        <v>117</v>
      </c>
      <c r="C29" s="414"/>
      <c r="E29" s="414" t="s">
        <v>118</v>
      </c>
      <c r="F29" s="414"/>
      <c r="G29" s="414"/>
      <c r="I29" s="411" t="s">
        <v>119</v>
      </c>
      <c r="J29" s="411"/>
      <c r="K29" s="411"/>
      <c r="Y29" s="173"/>
      <c r="Z29" s="173"/>
      <c r="AA29" s="173"/>
      <c r="AB29" s="173"/>
      <c r="AC29" s="173"/>
      <c r="AD29" s="173"/>
      <c r="AE29" s="173"/>
      <c r="AF29" s="173"/>
      <c r="AG29" s="173"/>
    </row>
    <row r="30" spans="2:35" x14ac:dyDescent="0.25">
      <c r="B30" s="181" t="s">
        <v>89</v>
      </c>
      <c r="C30" s="212">
        <v>0.1</v>
      </c>
      <c r="E30" s="181" t="s">
        <v>89</v>
      </c>
      <c r="F30" s="181"/>
      <c r="G30" s="212">
        <v>8.5000000000000006E-2</v>
      </c>
      <c r="I30" s="181" t="s">
        <v>89</v>
      </c>
      <c r="J30" s="267"/>
      <c r="K30" s="212">
        <v>7.0000000000000007E-2</v>
      </c>
      <c r="Y30" s="173"/>
      <c r="Z30" s="173"/>
      <c r="AA30" s="173"/>
      <c r="AB30" s="173"/>
      <c r="AC30" s="173"/>
      <c r="AD30" s="173"/>
      <c r="AE30" s="173"/>
      <c r="AF30" s="173"/>
      <c r="AG30" s="173"/>
    </row>
    <row r="31" spans="2:35" x14ac:dyDescent="0.25">
      <c r="B31" s="181" t="s">
        <v>274</v>
      </c>
      <c r="C31" s="212">
        <v>0.02</v>
      </c>
      <c r="E31" s="181" t="s">
        <v>274</v>
      </c>
      <c r="F31" s="181"/>
      <c r="G31" s="212">
        <v>0.03</v>
      </c>
      <c r="I31" s="168" t="s">
        <v>274</v>
      </c>
      <c r="K31" s="212">
        <v>0.03</v>
      </c>
      <c r="Y31" s="173"/>
      <c r="Z31" s="173"/>
      <c r="AA31" s="173"/>
      <c r="AB31" s="173"/>
      <c r="AC31" s="173"/>
      <c r="AD31" s="173"/>
      <c r="AE31" s="173"/>
      <c r="AF31" s="173"/>
      <c r="AG31" s="173"/>
    </row>
    <row r="32" spans="2:35" x14ac:dyDescent="0.25">
      <c r="B32" s="181" t="s">
        <v>315</v>
      </c>
      <c r="C32" s="282">
        <v>7.2</v>
      </c>
      <c r="E32" s="412" t="s">
        <v>315</v>
      </c>
      <c r="F32" s="412"/>
      <c r="G32" s="282">
        <v>9.5</v>
      </c>
      <c r="I32" s="403" t="s">
        <v>315</v>
      </c>
      <c r="J32" s="403"/>
      <c r="K32" s="282">
        <v>15.5</v>
      </c>
      <c r="Y32" s="173"/>
      <c r="Z32" s="173"/>
      <c r="AA32" s="173"/>
      <c r="AB32" s="173"/>
      <c r="AC32" s="173"/>
      <c r="AD32" s="173"/>
      <c r="AE32" s="173"/>
      <c r="AF32" s="173"/>
      <c r="AG32" s="173"/>
    </row>
    <row r="33" spans="2:33" x14ac:dyDescent="0.25">
      <c r="B33" s="181" t="s">
        <v>285</v>
      </c>
      <c r="C33" s="212">
        <v>0.65</v>
      </c>
      <c r="D33" s="173"/>
      <c r="E33" s="412" t="s">
        <v>285</v>
      </c>
      <c r="F33" s="412"/>
      <c r="G33" s="212">
        <v>0.6</v>
      </c>
      <c r="H33" s="173"/>
      <c r="I33" s="412" t="s">
        <v>285</v>
      </c>
      <c r="J33" s="412"/>
      <c r="K33" s="212">
        <v>0.55000000000000004</v>
      </c>
      <c r="L33" s="173"/>
      <c r="Y33" s="173"/>
      <c r="Z33" s="173"/>
      <c r="AA33" s="173"/>
      <c r="AB33" s="173"/>
      <c r="AC33" s="173"/>
      <c r="AD33" s="173"/>
      <c r="AE33" s="173"/>
      <c r="AF33" s="173"/>
      <c r="AG33" s="173"/>
    </row>
    <row r="34" spans="2:33" x14ac:dyDescent="0.25">
      <c r="B34" s="181" t="s">
        <v>284</v>
      </c>
      <c r="C34" s="212">
        <v>0.15</v>
      </c>
      <c r="D34" s="173"/>
      <c r="E34" s="412" t="s">
        <v>290</v>
      </c>
      <c r="F34" s="412"/>
      <c r="G34" s="212">
        <v>0.125</v>
      </c>
      <c r="H34" s="173"/>
      <c r="I34" s="412" t="s">
        <v>290</v>
      </c>
      <c r="J34" s="412"/>
      <c r="K34" s="212">
        <v>0.1</v>
      </c>
      <c r="L34" s="173"/>
      <c r="Y34" s="173"/>
      <c r="Z34" s="173"/>
      <c r="AA34" s="173"/>
      <c r="AB34" s="173"/>
      <c r="AC34" s="173"/>
      <c r="AD34" s="173"/>
      <c r="AE34" s="173"/>
      <c r="AF34" s="173"/>
      <c r="AG34" s="173"/>
    </row>
    <row r="35" spans="2:33" x14ac:dyDescent="0.25">
      <c r="B35" s="181" t="s">
        <v>287</v>
      </c>
      <c r="C35" s="212">
        <v>0.15</v>
      </c>
      <c r="D35" s="173"/>
      <c r="E35" s="412" t="s">
        <v>291</v>
      </c>
      <c r="F35" s="412"/>
      <c r="G35" s="212">
        <v>0.2</v>
      </c>
      <c r="H35" s="173"/>
      <c r="I35" s="412" t="s">
        <v>291</v>
      </c>
      <c r="J35" s="412"/>
      <c r="K35" s="212">
        <v>0.25</v>
      </c>
      <c r="L35" s="173"/>
      <c r="Y35" s="173"/>
      <c r="Z35" s="173"/>
      <c r="AA35" s="173"/>
      <c r="AB35" s="173"/>
      <c r="AC35" s="173"/>
      <c r="AD35" s="173"/>
      <c r="AE35" s="173"/>
      <c r="AF35" s="173"/>
      <c r="AG35" s="173"/>
    </row>
    <row r="36" spans="2:33" x14ac:dyDescent="0.2">
      <c r="B36" s="181" t="s">
        <v>37</v>
      </c>
      <c r="C36" s="212">
        <v>0.2</v>
      </c>
      <c r="D36" s="175"/>
      <c r="E36" s="412" t="s">
        <v>37</v>
      </c>
      <c r="F36" s="412"/>
      <c r="G36" s="212">
        <v>0.15</v>
      </c>
      <c r="H36" s="175"/>
      <c r="I36" s="412" t="s">
        <v>37</v>
      </c>
      <c r="J36" s="412"/>
      <c r="K36" s="212">
        <v>0.12</v>
      </c>
      <c r="L36" s="173"/>
      <c r="Y36" s="173"/>
      <c r="Z36" s="173"/>
      <c r="AA36" s="173"/>
      <c r="AB36" s="173"/>
      <c r="AC36" s="173"/>
      <c r="AD36" s="173"/>
      <c r="AE36" s="173"/>
      <c r="AF36" s="173"/>
      <c r="AG36" s="173"/>
    </row>
    <row r="37" spans="2:33" x14ac:dyDescent="0.2">
      <c r="B37" s="175"/>
      <c r="C37" s="175"/>
      <c r="D37" s="175"/>
      <c r="E37" s="175"/>
      <c r="F37" s="175"/>
      <c r="G37" s="175"/>
      <c r="H37" s="175"/>
      <c r="I37" s="175"/>
      <c r="J37" s="175"/>
      <c r="K37" s="175"/>
      <c r="L37" s="173"/>
      <c r="Y37" s="173"/>
      <c r="Z37" s="173"/>
      <c r="AA37" s="173"/>
      <c r="AB37" s="173"/>
      <c r="AC37" s="173"/>
      <c r="AD37" s="173"/>
      <c r="AE37" s="173"/>
      <c r="AF37" s="173"/>
      <c r="AG37" s="173"/>
    </row>
    <row r="38" spans="2:33" x14ac:dyDescent="0.25">
      <c r="D38" s="183"/>
      <c r="Y38" s="173"/>
      <c r="Z38" s="173"/>
      <c r="AA38" s="173"/>
      <c r="AB38" s="173"/>
      <c r="AC38" s="173"/>
      <c r="AD38" s="173"/>
      <c r="AE38" s="173"/>
      <c r="AF38" s="173"/>
      <c r="AG38" s="173"/>
    </row>
    <row r="39" spans="2:33" x14ac:dyDescent="0.25">
      <c r="D39" s="183"/>
      <c r="Y39" s="173"/>
      <c r="Z39" s="173"/>
      <c r="AA39" s="173"/>
      <c r="AB39" s="173"/>
      <c r="AC39" s="173"/>
      <c r="AD39" s="173"/>
      <c r="AE39" s="173"/>
      <c r="AF39" s="173"/>
      <c r="AG39" s="173"/>
    </row>
    <row r="40" spans="2:33" ht="18" x14ac:dyDescent="0.25">
      <c r="D40" s="409" t="s">
        <v>78</v>
      </c>
      <c r="E40" s="409"/>
      <c r="F40" s="409"/>
      <c r="G40" s="409"/>
      <c r="H40" s="409"/>
      <c r="I40" s="409"/>
      <c r="J40" s="333" t="s">
        <v>282</v>
      </c>
      <c r="K40" s="413" t="s">
        <v>77</v>
      </c>
      <c r="L40" s="413"/>
      <c r="M40" s="413"/>
      <c r="N40" s="413"/>
      <c r="O40" s="413"/>
      <c r="P40" s="413"/>
      <c r="Q40" s="333" t="s">
        <v>281</v>
      </c>
      <c r="S40" s="421" t="s">
        <v>45</v>
      </c>
      <c r="T40" s="421"/>
      <c r="U40" s="421"/>
      <c r="V40" s="421"/>
      <c r="Z40" s="173"/>
      <c r="AA40" s="173"/>
      <c r="AB40" s="173"/>
      <c r="AC40" s="173"/>
      <c r="AD40" s="173"/>
      <c r="AE40" s="173"/>
      <c r="AF40" s="173"/>
      <c r="AG40" s="173"/>
    </row>
    <row r="41" spans="2:33" ht="18.75" thickBot="1" x14ac:dyDescent="0.3">
      <c r="B41" s="416" t="s">
        <v>44</v>
      </c>
      <c r="C41" s="416"/>
      <c r="D41" s="334">
        <f t="shared" ref="D41:I41" si="5">YEAR(D42)</f>
        <v>2016</v>
      </c>
      <c r="E41" s="335">
        <f t="shared" si="5"/>
        <v>2017</v>
      </c>
      <c r="F41" s="335">
        <f t="shared" si="5"/>
        <v>2018</v>
      </c>
      <c r="G41" s="335">
        <f t="shared" si="5"/>
        <v>2019</v>
      </c>
      <c r="H41" s="335">
        <f t="shared" si="5"/>
        <v>2020</v>
      </c>
      <c r="I41" s="335">
        <f t="shared" si="5"/>
        <v>2021</v>
      </c>
      <c r="J41" s="338">
        <f>YEAR(J42)</f>
        <v>2022</v>
      </c>
      <c r="K41" s="339">
        <f>YEAR(K42)</f>
        <v>2022</v>
      </c>
      <c r="L41" s="339">
        <f t="shared" ref="L41:Q41" si="6">YEAR(L42)</f>
        <v>2023</v>
      </c>
      <c r="M41" s="339">
        <f t="shared" si="6"/>
        <v>2024</v>
      </c>
      <c r="N41" s="339">
        <f t="shared" si="6"/>
        <v>2025</v>
      </c>
      <c r="O41" s="339">
        <f t="shared" si="6"/>
        <v>2026</v>
      </c>
      <c r="P41" s="339">
        <f t="shared" si="6"/>
        <v>2027</v>
      </c>
      <c r="Q41" s="338">
        <f t="shared" si="6"/>
        <v>2028</v>
      </c>
      <c r="S41" s="401" t="s">
        <v>316</v>
      </c>
      <c r="T41" s="401"/>
      <c r="U41" s="401"/>
      <c r="V41" s="185" cm="1">
        <f t="array" ref="V41">($Q$200*(1+_xlfn.SWITCH($D$25, "Conservative", $C$31, "Base", $G$31, "Optimistic", $K$31)))/(_xlfn.SWITCH($D$24, "Conservative", $C$30, "Base", $G$30, "Optimistic", $K$30)-_xlfn.SWITCH($D$25, "Conservative", $C$31, "Base", $G$31, "Optimistic", $K$31))</f>
        <v>108422.8460734699</v>
      </c>
      <c r="Z41" s="173"/>
      <c r="AA41" s="173"/>
      <c r="AB41" s="173"/>
      <c r="AC41" s="173"/>
      <c r="AD41" s="173"/>
      <c r="AE41" s="173"/>
      <c r="AF41" s="173"/>
      <c r="AG41" s="173"/>
    </row>
    <row r="42" spans="2:33" x14ac:dyDescent="0.25">
      <c r="B42" s="186" t="s">
        <v>0</v>
      </c>
      <c r="C42" s="186"/>
      <c r="D42" s="187">
        <f t="shared" ref="D42:I42" si="7">DATE(YEAR($D$8)+D43,MONTH($D$8),DAY($D$8))</f>
        <v>42735</v>
      </c>
      <c r="E42" s="187">
        <f t="shared" si="7"/>
        <v>43100</v>
      </c>
      <c r="F42" s="187">
        <f t="shared" si="7"/>
        <v>43465</v>
      </c>
      <c r="G42" s="187">
        <f t="shared" si="7"/>
        <v>43830</v>
      </c>
      <c r="H42" s="187">
        <f t="shared" si="7"/>
        <v>44196</v>
      </c>
      <c r="I42" s="187">
        <f t="shared" si="7"/>
        <v>44561</v>
      </c>
      <c r="J42" s="188">
        <f>D7</f>
        <v>44562</v>
      </c>
      <c r="K42" s="187">
        <f t="shared" ref="K42:P42" si="8">DATE(YEAR($D$8)+K43,MONTH($D$8),DAY($D$8))</f>
        <v>44926</v>
      </c>
      <c r="L42" s="187">
        <f t="shared" si="8"/>
        <v>45291</v>
      </c>
      <c r="M42" s="187">
        <f t="shared" si="8"/>
        <v>45657</v>
      </c>
      <c r="N42" s="187">
        <f t="shared" si="8"/>
        <v>46022</v>
      </c>
      <c r="O42" s="187">
        <f t="shared" si="8"/>
        <v>46387</v>
      </c>
      <c r="P42" s="187">
        <f t="shared" si="8"/>
        <v>46752</v>
      </c>
      <c r="Q42" s="187">
        <f>D9</f>
        <v>46753</v>
      </c>
      <c r="S42" s="401" t="s">
        <v>47</v>
      </c>
      <c r="T42" s="401"/>
      <c r="U42" s="401"/>
      <c r="V42" s="189" cm="1">
        <f t="array" ref="V42">_xlfn.SWITCH($D$23, "Conservative", $C$32, "Base", $G$32, "Optimistic", $K$32)*($Q$144+$Q$157)</f>
        <v>344233.21702981653</v>
      </c>
      <c r="Z42" s="173"/>
      <c r="AA42" s="173"/>
      <c r="AB42" s="173"/>
      <c r="AC42" s="173"/>
      <c r="AD42" s="173"/>
      <c r="AE42" s="173"/>
      <c r="AF42" s="173"/>
      <c r="AG42" s="173"/>
    </row>
    <row r="43" spans="2:33" x14ac:dyDescent="0.25">
      <c r="B43" s="190" t="s">
        <v>46</v>
      </c>
      <c r="C43" s="190"/>
      <c r="D43" s="191">
        <f>E43-1</f>
        <v>-5</v>
      </c>
      <c r="E43" s="191">
        <f t="shared" ref="E43" si="9">F43-1</f>
        <v>-4</v>
      </c>
      <c r="F43" s="191">
        <f>G43-1</f>
        <v>-3</v>
      </c>
      <c r="G43" s="191">
        <f t="shared" ref="G43" si="10">H43-1</f>
        <v>-2</v>
      </c>
      <c r="H43" s="191">
        <f t="shared" ref="H43" si="11">I43-1</f>
        <v>-1</v>
      </c>
      <c r="I43" s="191">
        <v>0</v>
      </c>
      <c r="J43" s="192"/>
      <c r="K43" s="191">
        <f>J43+1</f>
        <v>1</v>
      </c>
      <c r="L43" s="191">
        <f>K43+1</f>
        <v>2</v>
      </c>
      <c r="M43" s="191">
        <f t="shared" ref="M43" si="12">L43+1</f>
        <v>3</v>
      </c>
      <c r="N43" s="191">
        <f t="shared" ref="N43" si="13">M43+1</f>
        <v>4</v>
      </c>
      <c r="O43" s="191">
        <f t="shared" ref="O43" si="14">N43+1</f>
        <v>5</v>
      </c>
      <c r="P43" s="191">
        <f t="shared" ref="P43:Q43" si="15">O43+1</f>
        <v>6</v>
      </c>
      <c r="Q43" s="191">
        <f t="shared" si="15"/>
        <v>7</v>
      </c>
      <c r="S43" s="171" t="s">
        <v>49</v>
      </c>
      <c r="V43" s="193">
        <f>AVERAGE(V41:V42)</f>
        <v>226328.03155164322</v>
      </c>
      <c r="Z43" s="173"/>
      <c r="AA43" s="173"/>
      <c r="AB43" s="173"/>
      <c r="AC43" s="173"/>
      <c r="AD43" s="173"/>
      <c r="AE43" s="173"/>
      <c r="AF43" s="173"/>
      <c r="AG43" s="173"/>
    </row>
    <row r="44" spans="2:33" x14ac:dyDescent="0.25">
      <c r="B44" s="190" t="s">
        <v>48</v>
      </c>
      <c r="C44" s="186"/>
      <c r="D44" s="194"/>
      <c r="E44" s="194"/>
      <c r="F44" s="194"/>
      <c r="G44" s="194"/>
      <c r="H44" s="194"/>
      <c r="I44" s="194"/>
      <c r="J44" s="186"/>
      <c r="K44" s="194">
        <f>YEARFRAC(J42,K42)</f>
        <v>1</v>
      </c>
      <c r="L44" s="194">
        <f>YEARFRAC(K42,L42)</f>
        <v>1</v>
      </c>
      <c r="M44" s="194">
        <f>YEARFRAC(L42,M42)</f>
        <v>1</v>
      </c>
      <c r="N44" s="194">
        <f>YEARFRAC(M42,N42)</f>
        <v>1</v>
      </c>
      <c r="O44" s="194">
        <f t="shared" ref="O44:P44" si="16">YEARFRAC(N42,O42)</f>
        <v>1</v>
      </c>
      <c r="P44" s="194">
        <f t="shared" si="16"/>
        <v>1</v>
      </c>
      <c r="Q44" s="180"/>
      <c r="S44" s="171" t="s">
        <v>80</v>
      </c>
      <c r="V44" s="195">
        <f>MIN(V41:V42)</f>
        <v>108422.8460734699</v>
      </c>
      <c r="X44" s="186"/>
      <c r="Y44" s="189"/>
      <c r="Z44" s="173"/>
      <c r="AA44" s="173"/>
      <c r="AB44" s="173"/>
      <c r="AC44" s="173"/>
      <c r="AD44" s="173"/>
      <c r="AE44" s="173"/>
      <c r="AF44" s="173"/>
      <c r="AG44" s="173"/>
    </row>
    <row r="45" spans="2:33" x14ac:dyDescent="0.25">
      <c r="B45" s="186"/>
      <c r="C45" s="186"/>
      <c r="D45" s="196"/>
      <c r="E45" s="196"/>
      <c r="F45" s="196"/>
      <c r="G45" s="196"/>
      <c r="H45" s="196"/>
      <c r="I45" s="187"/>
      <c r="J45" s="197"/>
      <c r="K45" s="196"/>
      <c r="L45" s="196"/>
      <c r="M45" s="196"/>
      <c r="N45" s="196"/>
      <c r="O45" s="196"/>
      <c r="P45" s="196"/>
      <c r="Q45" s="198"/>
      <c r="R45" s="198"/>
      <c r="S45" s="171" t="s">
        <v>81</v>
      </c>
      <c r="V45" s="195">
        <f>MAX(V41:V42)</f>
        <v>344233.21702981653</v>
      </c>
      <c r="X45" s="186"/>
      <c r="Y45" s="189"/>
      <c r="Z45" s="173"/>
      <c r="AA45" s="173"/>
      <c r="AB45" s="173"/>
      <c r="AC45" s="173"/>
      <c r="AD45" s="173"/>
      <c r="AE45" s="173"/>
      <c r="AF45" s="173"/>
      <c r="AG45" s="173"/>
    </row>
    <row r="46" spans="2:33" ht="15" thickBot="1" x14ac:dyDescent="0.3">
      <c r="B46" s="199" t="s">
        <v>112</v>
      </c>
      <c r="C46" s="186"/>
      <c r="D46" s="200">
        <f>INDEX(Table16[REVENUE], MATCH('DCF Model'!D$41, Table16[Year], 0))</f>
        <v>8831</v>
      </c>
      <c r="E46" s="200">
        <f>INDEX(Table16[REVENUE], MATCH('DCF Model'!E$41, Table16[Year], 0))</f>
        <v>11692.713</v>
      </c>
      <c r="F46" s="200">
        <f>INDEX(Table16[REVENUE], MATCH('DCF Model'!F$41, Table16[Year], 0))</f>
        <v>15794</v>
      </c>
      <c r="G46" s="200">
        <f>INDEX(Table16[REVENUE], MATCH('DCF Model'!G$41, Table16[Year], 0))</f>
        <v>20156</v>
      </c>
      <c r="H46" s="200">
        <f>INDEX(Table16[REVENUE], MATCH('DCF Model'!H$41, Table16[Year], 0))</f>
        <v>24996</v>
      </c>
      <c r="I46" s="200">
        <f>INDEX(Table16[REVENUE], MATCH('DCF Model'!I$41, Table16[Year], 0))</f>
        <v>29698</v>
      </c>
      <c r="J46" s="200">
        <f>I46</f>
        <v>29698</v>
      </c>
      <c r="K46" s="229">
        <f>K81+K47</f>
        <v>33480.438365889735</v>
      </c>
      <c r="L46" s="229">
        <f>L81+L47</f>
        <v>39289.249009050749</v>
      </c>
      <c r="M46" s="229">
        <f>M81+M47</f>
        <v>48735.280266008071</v>
      </c>
      <c r="N46" s="229">
        <f t="shared" ref="N46:P46" si="17">N81+N47</f>
        <v>57562.274015365278</v>
      </c>
      <c r="O46" s="229">
        <f t="shared" si="17"/>
        <v>68078.13298991615</v>
      </c>
      <c r="P46" s="229">
        <f t="shared" si="17"/>
        <v>80671.99597792828</v>
      </c>
      <c r="Q46" s="230">
        <f>AVERAGE(K46:P46)</f>
        <v>54636.228437359714</v>
      </c>
      <c r="R46" s="198"/>
      <c r="S46" s="198"/>
      <c r="T46" s="198"/>
      <c r="U46" s="198"/>
      <c r="X46" s="186"/>
      <c r="Y46" s="189"/>
      <c r="Z46" s="173"/>
      <c r="AA46" s="173"/>
      <c r="AB46" s="173"/>
      <c r="AC46" s="173"/>
      <c r="AD46" s="173"/>
      <c r="AE46" s="173"/>
      <c r="AF46" s="173"/>
      <c r="AG46" s="173"/>
    </row>
    <row r="47" spans="2:33" ht="18" x14ac:dyDescent="0.25">
      <c r="B47" s="417" t="s">
        <v>321</v>
      </c>
      <c r="C47" s="417"/>
      <c r="D47" s="417"/>
      <c r="E47" s="201"/>
      <c r="F47" s="201"/>
      <c r="G47" s="201"/>
      <c r="H47" s="201"/>
      <c r="I47" s="201"/>
      <c r="J47" s="201"/>
      <c r="K47" s="283">
        <v>-1500</v>
      </c>
      <c r="L47" s="283">
        <v>-2000</v>
      </c>
      <c r="M47" s="283"/>
      <c r="N47" s="283"/>
      <c r="O47" s="283"/>
      <c r="P47" s="283"/>
      <c r="Q47" s="202"/>
      <c r="R47" s="198"/>
      <c r="S47" s="402" t="s">
        <v>324</v>
      </c>
      <c r="T47" s="402"/>
      <c r="U47" s="402"/>
      <c r="V47" s="402"/>
      <c r="X47" s="186"/>
      <c r="Y47" s="189"/>
      <c r="Z47" s="173"/>
      <c r="AA47" s="173"/>
      <c r="AB47" s="173"/>
      <c r="AC47" s="173"/>
      <c r="AD47" s="173"/>
      <c r="AE47" s="173"/>
      <c r="AF47" s="173"/>
      <c r="AG47" s="173"/>
    </row>
    <row r="48" spans="2:33" x14ac:dyDescent="0.2">
      <c r="B48" s="190" t="s">
        <v>113</v>
      </c>
      <c r="C48" s="186"/>
      <c r="D48" s="196"/>
      <c r="E48" s="203">
        <f>E46/D46-1</f>
        <v>0.32405310836824808</v>
      </c>
      <c r="F48" s="203">
        <f>F46/E46-1</f>
        <v>0.35075580833977549</v>
      </c>
      <c r="G48" s="203">
        <f>G46/F46-1</f>
        <v>0.27618082816259348</v>
      </c>
      <c r="H48" s="203">
        <f>H46/G46-1</f>
        <v>0.2401270093272474</v>
      </c>
      <c r="I48" s="203">
        <f>I46/H46-1</f>
        <v>0.18811009761561848</v>
      </c>
      <c r="J48" s="332">
        <f>AVERAGE(E48:I48)</f>
        <v>0.27584537036269657</v>
      </c>
      <c r="K48" s="288">
        <f t="shared" ref="K48:P48" si="18">K46/J46-1</f>
        <v>0.1273634037945226</v>
      </c>
      <c r="L48" s="288">
        <f t="shared" si="18"/>
        <v>0.1734986435864323</v>
      </c>
      <c r="M48" s="288">
        <f t="shared" si="18"/>
        <v>0.24042280000774041</v>
      </c>
      <c r="N48" s="288">
        <f t="shared" si="18"/>
        <v>0.18112122678227149</v>
      </c>
      <c r="O48" s="288">
        <f t="shared" si="18"/>
        <v>0.18268664944932245</v>
      </c>
      <c r="P48" s="288">
        <f t="shared" si="18"/>
        <v>0.1849913097628213</v>
      </c>
      <c r="Q48" s="213">
        <f>AVERAGE(K48:P48)</f>
        <v>0.18168067223051843</v>
      </c>
      <c r="R48" s="198"/>
      <c r="S48" s="401" t="s">
        <v>585</v>
      </c>
      <c r="T48" s="401"/>
      <c r="U48" s="401"/>
      <c r="V48" s="223">
        <f>($P$46/$K$46)^(1/6)-1</f>
        <v>0.15785793897162348</v>
      </c>
      <c r="X48" s="186"/>
      <c r="Y48" s="189"/>
      <c r="Z48" s="173"/>
      <c r="AA48" s="173"/>
      <c r="AB48" s="173"/>
      <c r="AC48" s="173"/>
      <c r="AD48" s="173"/>
      <c r="AE48" s="173"/>
      <c r="AF48" s="173"/>
      <c r="AG48" s="173"/>
    </row>
    <row r="49" spans="2:33" x14ac:dyDescent="0.2">
      <c r="B49" s="186" t="s">
        <v>320</v>
      </c>
      <c r="C49" s="186"/>
      <c r="D49" s="196"/>
      <c r="E49" s="203"/>
      <c r="F49" s="203"/>
      <c r="G49" s="203"/>
      <c r="H49" s="203"/>
      <c r="I49" s="204"/>
      <c r="J49" s="332">
        <f>L49/K49-1</f>
        <v>9.8315467075038354E-2</v>
      </c>
      <c r="K49" s="363">
        <v>32650</v>
      </c>
      <c r="L49" s="363">
        <v>35860</v>
      </c>
      <c r="M49" s="364">
        <v>42900</v>
      </c>
      <c r="N49" s="364"/>
      <c r="O49" s="364"/>
      <c r="P49" s="364"/>
      <c r="Q49" s="365"/>
      <c r="R49" s="198"/>
      <c r="S49" s="401" t="s">
        <v>586</v>
      </c>
      <c r="T49" s="401"/>
      <c r="U49" s="401"/>
      <c r="V49" s="236">
        <f>($I$46/$D$46)^(1/6)-1</f>
        <v>0.22401353352588349</v>
      </c>
      <c r="X49" s="186"/>
      <c r="Y49" s="189"/>
      <c r="Z49" s="173"/>
      <c r="AA49" s="173"/>
      <c r="AB49" s="173"/>
      <c r="AC49" s="173"/>
      <c r="AD49" s="173"/>
      <c r="AE49" s="173"/>
      <c r="AF49" s="173"/>
      <c r="AG49" s="173"/>
    </row>
    <row r="50" spans="2:33" x14ac:dyDescent="0.2">
      <c r="B50" s="219" t="s">
        <v>313</v>
      </c>
      <c r="C50" s="186"/>
      <c r="D50" s="196"/>
      <c r="E50" s="203"/>
      <c r="F50" s="203"/>
      <c r="G50" s="203"/>
      <c r="H50" s="203"/>
      <c r="I50" s="204"/>
      <c r="J50" s="175"/>
      <c r="K50" s="363">
        <f>K49-K$46</f>
        <v>-830.438365889735</v>
      </c>
      <c r="L50" s="363">
        <f t="shared" ref="L50:M50" si="19">L49-L$46</f>
        <v>-3429.249009050749</v>
      </c>
      <c r="M50" s="363">
        <f t="shared" si="19"/>
        <v>-5835.2802660080706</v>
      </c>
      <c r="N50" s="366"/>
      <c r="O50" s="366"/>
      <c r="P50" s="366"/>
      <c r="Q50" s="365"/>
      <c r="R50" s="198"/>
      <c r="S50" s="346" t="s">
        <v>323</v>
      </c>
      <c r="V50" s="341">
        <f>V48-V49</f>
        <v>-6.6155594554260011E-2</v>
      </c>
      <c r="X50" s="186"/>
      <c r="Y50" s="189"/>
      <c r="Z50" s="173"/>
      <c r="AA50" s="173"/>
      <c r="AB50" s="173"/>
      <c r="AC50" s="173"/>
      <c r="AD50" s="173"/>
      <c r="AE50" s="173"/>
      <c r="AF50" s="173"/>
      <c r="AG50" s="173"/>
    </row>
    <row r="51" spans="2:33" s="345" customFormat="1" x14ac:dyDescent="0.2">
      <c r="B51" s="344" t="s">
        <v>549</v>
      </c>
      <c r="C51" s="344"/>
      <c r="D51" s="215"/>
      <c r="E51" s="203"/>
      <c r="F51" s="203"/>
      <c r="G51" s="203"/>
      <c r="H51" s="203"/>
      <c r="I51" s="204"/>
      <c r="J51" s="175"/>
      <c r="K51" s="221">
        <f>INDEX(Table24[Forecast], MATCH(K41,Table24[Timeline], 0))</f>
        <v>34000.389551684231</v>
      </c>
      <c r="L51" s="221">
        <f>INDEX(Table24[Forecast], MATCH(L41,Table24[Timeline], 0))</f>
        <v>38343.650919444539</v>
      </c>
      <c r="M51" s="221">
        <f>INDEX(Table24[Forecast], MATCH(M41,Table24[Timeline], 0))</f>
        <v>42686.912287204854</v>
      </c>
      <c r="N51" s="221">
        <f>INDEX(Table24[Forecast], MATCH(N41,Table24[Timeline], 0))</f>
        <v>47030.173654965169</v>
      </c>
      <c r="O51" s="221">
        <f>INDEX(Table24[Forecast], MATCH(O41,Table24[Timeline], 0))</f>
        <v>51373.435022725484</v>
      </c>
      <c r="P51" s="221">
        <f>INDEX(Table24[Forecast], MATCH(P41,Table24[Timeline], 0))</f>
        <v>55716.696390485798</v>
      </c>
      <c r="Q51" s="214">
        <f>AVERAGE(K51:P51)</f>
        <v>44858.542971085008</v>
      </c>
      <c r="R51" s="198"/>
      <c r="S51" s="401" t="s">
        <v>335</v>
      </c>
      <c r="T51" s="401"/>
      <c r="U51" s="401"/>
      <c r="V51" s="223">
        <f>$P$46/$K$46-1</f>
        <v>1.4095262760991165</v>
      </c>
      <c r="W51" s="173"/>
      <c r="X51" s="344"/>
      <c r="Y51" s="189"/>
      <c r="Z51" s="173"/>
      <c r="AA51" s="173"/>
      <c r="AB51" s="173"/>
      <c r="AC51" s="173"/>
      <c r="AD51" s="173"/>
      <c r="AE51" s="173"/>
      <c r="AF51" s="173"/>
      <c r="AG51" s="173"/>
    </row>
    <row r="52" spans="2:33" s="345" customFormat="1" x14ac:dyDescent="0.2">
      <c r="B52" s="219" t="s">
        <v>548</v>
      </c>
      <c r="C52" s="344"/>
      <c r="D52" s="196"/>
      <c r="E52" s="203"/>
      <c r="F52" s="203"/>
      <c r="G52" s="203"/>
      <c r="H52" s="203"/>
      <c r="I52" s="204"/>
      <c r="J52" s="175"/>
      <c r="K52" s="205">
        <f>K51-K$46</f>
        <v>519.95118579449627</v>
      </c>
      <c r="L52" s="205">
        <f t="shared" ref="L52:P52" si="20">L51-L$46</f>
        <v>-945.59808960621012</v>
      </c>
      <c r="M52" s="205">
        <f t="shared" si="20"/>
        <v>-6048.3679788032168</v>
      </c>
      <c r="N52" s="205">
        <f t="shared" si="20"/>
        <v>-10532.100360400109</v>
      </c>
      <c r="O52" s="205">
        <f t="shared" si="20"/>
        <v>-16704.697967190667</v>
      </c>
      <c r="P52" s="205">
        <f t="shared" si="20"/>
        <v>-24955.299587442481</v>
      </c>
      <c r="Q52" s="214">
        <f>Q46-Q51</f>
        <v>9777.6854662747064</v>
      </c>
      <c r="R52" s="198"/>
      <c r="S52" s="401" t="s">
        <v>336</v>
      </c>
      <c r="T52" s="401"/>
      <c r="U52" s="401"/>
      <c r="V52" s="236">
        <f>$I$46/$D$46-1</f>
        <v>2.3629260559393046</v>
      </c>
      <c r="W52" s="173"/>
      <c r="X52" s="344"/>
      <c r="Y52" s="189"/>
      <c r="Z52" s="173"/>
      <c r="AA52" s="173"/>
      <c r="AB52" s="173"/>
      <c r="AC52" s="173"/>
      <c r="AD52" s="173"/>
      <c r="AE52" s="173"/>
      <c r="AF52" s="173"/>
      <c r="AG52" s="173"/>
    </row>
    <row r="53" spans="2:33" x14ac:dyDescent="0.25">
      <c r="B53" s="186"/>
      <c r="C53" s="186"/>
      <c r="D53" s="196"/>
      <c r="E53" s="203"/>
      <c r="F53" s="203"/>
      <c r="G53" s="203"/>
      <c r="H53" s="203"/>
      <c r="I53" s="173"/>
      <c r="J53" s="173"/>
      <c r="K53" s="173"/>
      <c r="L53" s="173"/>
      <c r="M53" s="173"/>
      <c r="N53" s="173"/>
      <c r="O53" s="173"/>
      <c r="P53" s="173"/>
      <c r="R53" s="198"/>
      <c r="S53" s="346" t="s">
        <v>323</v>
      </c>
      <c r="V53" s="341">
        <f>V51-V52</f>
        <v>-0.95339977984018809</v>
      </c>
      <c r="X53" s="186"/>
      <c r="Y53" s="189"/>
      <c r="Z53" s="173"/>
      <c r="AA53" s="173"/>
      <c r="AB53" s="173"/>
      <c r="AC53" s="173"/>
      <c r="AD53" s="173"/>
      <c r="AE53" s="173"/>
      <c r="AF53" s="173"/>
      <c r="AG53" s="173"/>
    </row>
    <row r="54" spans="2:33" x14ac:dyDescent="0.25">
      <c r="B54" s="401" t="s">
        <v>239</v>
      </c>
      <c r="C54" s="401"/>
      <c r="E54" s="168">
        <f>6660859/1000</f>
        <v>6660.8590000000004</v>
      </c>
      <c r="F54" s="168">
        <f>8281532/1000</f>
        <v>8281.5319999999992</v>
      </c>
      <c r="G54" s="168">
        <f>10051208/1000</f>
        <v>10051.208000000001</v>
      </c>
      <c r="H54" s="206">
        <f>'Regional Information'!$K$10/1000</f>
        <v>11455.396000000001</v>
      </c>
      <c r="I54" s="206">
        <f>'Regional Information'!$P$10/1000</f>
        <v>12972.1</v>
      </c>
      <c r="J54" s="207">
        <f>I54</f>
        <v>12972.1</v>
      </c>
      <c r="K54" s="208" cm="1">
        <f t="array" ref="K54">J54*(1+_xlfn.SWITCH($D$18, "Conservative", K84, "Base", K91, "Optimistic", K98))</f>
        <v>14426.102859832685</v>
      </c>
      <c r="L54" s="208" cm="1">
        <f t="array" ref="L54">K54*(1+_xlfn.SWITCH($D$18, "Conservative", L84, "Base", L91, "Optimistic", L98))</f>
        <v>15896.082474434737</v>
      </c>
      <c r="M54" s="208" cm="1">
        <f t="array" ref="M54">L54*(1+_xlfn.SWITCH($D$18, "Conservative", M84, "Base", M91, "Optimistic", M98))</f>
        <v>17353.872265263301</v>
      </c>
      <c r="N54" s="208" cm="1">
        <f t="array" ref="N54">M54*(1+_xlfn.SWITCH($D$18, "Conservative", N84, "Base", N91, "Optimistic", N98))</f>
        <v>18768.521181173823</v>
      </c>
      <c r="O54" s="208" cm="1">
        <f t="array" ref="O54">N54*(1+_xlfn.SWITCH($D$18, "Conservative", O84, "Base", O91, "Optimistic", O98))</f>
        <v>20107.243125723347</v>
      </c>
      <c r="P54" s="208" cm="1">
        <f t="array" ref="P54">O54*(1+_xlfn.SWITCH($D$18, "Conservative", P84, "Base", P91, "Optimistic", P98))</f>
        <v>21336.566295862038</v>
      </c>
      <c r="Q54" s="336">
        <f>AVERAGE(K54:P54)</f>
        <v>17981.398033714988</v>
      </c>
      <c r="R54" s="198"/>
      <c r="X54" s="186"/>
      <c r="Y54" s="189"/>
      <c r="Z54" s="173"/>
      <c r="AA54" s="173"/>
      <c r="AB54" s="173"/>
      <c r="AC54" s="173"/>
      <c r="AD54" s="173"/>
      <c r="AE54" s="173"/>
      <c r="AF54" s="173"/>
      <c r="AG54" s="173"/>
    </row>
    <row r="55" spans="2:33" ht="18" x14ac:dyDescent="0.25">
      <c r="B55" s="186" t="s">
        <v>252</v>
      </c>
      <c r="C55" s="186"/>
      <c r="D55" s="210"/>
      <c r="E55" s="210">
        <f t="shared" ref="E55:I55" si="21">E54/E$46</f>
        <v>0.56965898333432119</v>
      </c>
      <c r="F55" s="210">
        <f t="shared" si="21"/>
        <v>0.52434671394200327</v>
      </c>
      <c r="G55" s="210">
        <f t="shared" si="21"/>
        <v>0.4986707680095257</v>
      </c>
      <c r="H55" s="210">
        <f t="shared" si="21"/>
        <v>0.45828916626660265</v>
      </c>
      <c r="I55" s="210">
        <f t="shared" si="21"/>
        <v>0.43680045794329586</v>
      </c>
      <c r="J55" s="211">
        <f>AVERAGE(E55:I55)</f>
        <v>0.49755321789914975</v>
      </c>
      <c r="K55" s="288">
        <f>K54/K46</f>
        <v>0.43088154050366823</v>
      </c>
      <c r="L55" s="288">
        <f t="shared" ref="L55:P55" si="22">L54/L46</f>
        <v>0.40459115089659475</v>
      </c>
      <c r="M55" s="288">
        <f t="shared" si="22"/>
        <v>0.35608438426006744</v>
      </c>
      <c r="N55" s="288">
        <f t="shared" si="22"/>
        <v>0.3260559368478716</v>
      </c>
      <c r="O55" s="288">
        <f t="shared" si="22"/>
        <v>0.29535538421274959</v>
      </c>
      <c r="P55" s="288">
        <f t="shared" si="22"/>
        <v>0.26448541451360252</v>
      </c>
      <c r="Q55" s="289">
        <f>AVERAGE(K55:P55)</f>
        <v>0.34624230187242566</v>
      </c>
      <c r="R55" s="198"/>
      <c r="S55" s="402" t="s">
        <v>325</v>
      </c>
      <c r="T55" s="402"/>
      <c r="U55" s="402"/>
      <c r="V55" s="402"/>
      <c r="X55" s="186"/>
      <c r="Y55" s="189"/>
      <c r="Z55" s="173"/>
      <c r="AA55" s="173"/>
      <c r="AB55" s="173"/>
      <c r="AC55" s="173"/>
      <c r="AD55" s="173"/>
      <c r="AE55" s="173"/>
      <c r="AF55" s="173"/>
      <c r="AG55" s="173"/>
    </row>
    <row r="56" spans="2:33" x14ac:dyDescent="0.25">
      <c r="B56" s="186" t="s">
        <v>267</v>
      </c>
      <c r="C56" s="186"/>
      <c r="D56" s="210"/>
      <c r="E56" s="210"/>
      <c r="F56" s="210">
        <f>F54/E54-1</f>
        <v>0.24331291204332639</v>
      </c>
      <c r="G56" s="210">
        <f t="shared" ref="G56:I56" si="23">G54/F54-1</f>
        <v>0.21368944779782306</v>
      </c>
      <c r="H56" s="210">
        <f t="shared" si="23"/>
        <v>0.1397034067944869</v>
      </c>
      <c r="I56" s="210">
        <f t="shared" si="23"/>
        <v>0.13240083537923963</v>
      </c>
      <c r="J56" s="211">
        <f>AVERAGE(E56:I56)</f>
        <v>0.182276650503719</v>
      </c>
      <c r="K56" s="288">
        <f>K54/J54-1</f>
        <v>0.11208692962840905</v>
      </c>
      <c r="L56" s="288">
        <f t="shared" ref="L56:P56" si="24">L54/K54-1</f>
        <v>0.10189720875309916</v>
      </c>
      <c r="M56" s="288">
        <f t="shared" si="24"/>
        <v>9.1707487877789262E-2</v>
      </c>
      <c r="N56" s="288">
        <f t="shared" si="24"/>
        <v>8.1517767002479369E-2</v>
      </c>
      <c r="O56" s="288">
        <f t="shared" si="24"/>
        <v>7.1328046127169475E-2</v>
      </c>
      <c r="P56" s="288">
        <f t="shared" si="24"/>
        <v>6.1138325251859582E-2</v>
      </c>
      <c r="Q56" s="289">
        <f>AVERAGE(K56:P56)</f>
        <v>8.6612627440134315E-2</v>
      </c>
      <c r="R56" s="198"/>
      <c r="S56" s="401" t="s">
        <v>585</v>
      </c>
      <c r="T56" s="401"/>
      <c r="U56" s="401"/>
      <c r="V56" s="223">
        <f>($P$104/$K$104)^(1/6)-1</f>
        <v>0.13926486160730045</v>
      </c>
      <c r="X56" s="186"/>
      <c r="Y56" s="189"/>
      <c r="Z56" s="173"/>
      <c r="AA56" s="173"/>
      <c r="AB56" s="173"/>
      <c r="AC56" s="173"/>
      <c r="AD56" s="173"/>
      <c r="AE56" s="173"/>
      <c r="AF56" s="173"/>
      <c r="AG56" s="173"/>
    </row>
    <row r="57" spans="2:33" s="345" customFormat="1" x14ac:dyDescent="0.25">
      <c r="B57" s="219" t="s">
        <v>549</v>
      </c>
      <c r="C57" s="344"/>
      <c r="D57" s="196"/>
      <c r="E57" s="196"/>
      <c r="F57" s="196"/>
      <c r="G57" s="196"/>
      <c r="H57" s="196"/>
      <c r="I57" s="196"/>
      <c r="J57" s="232"/>
      <c r="K57" s="367">
        <f>INDEX(Table34[Forecast], MATCH(K41, Table34[Timeline], 0))</f>
        <v>14579.139602131187</v>
      </c>
      <c r="L57" s="367">
        <f>INDEX(Table34[Forecast], MATCH(L41, Table34[Timeline], 0))</f>
        <v>16150.507923657378</v>
      </c>
      <c r="M57" s="367">
        <f>INDEX(Table34[Forecast], MATCH(M41, Table34[Timeline], 0))</f>
        <v>17721.876245183568</v>
      </c>
      <c r="N57" s="367">
        <f>INDEX(Table34[Forecast], MATCH(N41, Table34[Timeline], 0))</f>
        <v>19293.24456670976</v>
      </c>
      <c r="O57" s="367">
        <f>INDEX(Table34[Forecast], MATCH(O41, Table34[Timeline], 0))</f>
        <v>20864.612888235948</v>
      </c>
      <c r="P57" s="367">
        <f>INDEX(Table34[Forecast], MATCH(P41, Table34[Timeline], 0))</f>
        <v>22435.98120976214</v>
      </c>
      <c r="Q57" s="363">
        <f>AVERAGE(K57:P57)</f>
        <v>18507.56040594666</v>
      </c>
      <c r="R57" s="198"/>
      <c r="S57" s="401" t="s">
        <v>586</v>
      </c>
      <c r="T57" s="401"/>
      <c r="U57" s="401"/>
      <c r="V57" s="223">
        <f>($I$104/$D$104)^(1/6)-1</f>
        <v>0.18508980950112153</v>
      </c>
      <c r="W57" s="173"/>
      <c r="X57" s="344"/>
      <c r="Y57" s="189"/>
      <c r="Z57" s="173"/>
      <c r="AA57" s="173"/>
      <c r="AB57" s="173"/>
      <c r="AC57" s="173"/>
      <c r="AD57" s="173"/>
      <c r="AE57" s="173"/>
      <c r="AF57" s="173"/>
      <c r="AG57" s="173"/>
    </row>
    <row r="58" spans="2:33" s="345" customFormat="1" x14ac:dyDescent="0.2">
      <c r="B58" s="219" t="s">
        <v>548</v>
      </c>
      <c r="C58" s="344"/>
      <c r="D58" s="196"/>
      <c r="E58" s="203"/>
      <c r="F58" s="203"/>
      <c r="G58" s="203"/>
      <c r="H58" s="203"/>
      <c r="I58" s="204"/>
      <c r="J58" s="175"/>
      <c r="K58" s="366">
        <f>K57-K54</f>
        <v>153.03674229850185</v>
      </c>
      <c r="L58" s="366">
        <f t="shared" ref="L58:P58" si="25">L57-L54</f>
        <v>254.42544922264096</v>
      </c>
      <c r="M58" s="366">
        <f t="shared" si="25"/>
        <v>368.00397992026774</v>
      </c>
      <c r="N58" s="366">
        <f t="shared" si="25"/>
        <v>524.72338553593727</v>
      </c>
      <c r="O58" s="366">
        <f t="shared" si="25"/>
        <v>757.36976251260057</v>
      </c>
      <c r="P58" s="366">
        <f t="shared" si="25"/>
        <v>1099.414913900102</v>
      </c>
      <c r="Q58" s="365">
        <f>Q51-Q57</f>
        <v>26350.982565138347</v>
      </c>
      <c r="R58" s="198"/>
      <c r="S58" s="346" t="s">
        <v>323</v>
      </c>
      <c r="T58" s="173"/>
      <c r="U58" s="173"/>
      <c r="V58" s="341">
        <f>V56-V57</f>
        <v>-4.5824947893821077E-2</v>
      </c>
      <c r="W58" s="173"/>
      <c r="X58" s="344"/>
      <c r="Y58" s="189"/>
      <c r="Z58" s="173"/>
      <c r="AA58" s="173"/>
      <c r="AB58" s="173"/>
      <c r="AC58" s="173"/>
      <c r="AD58" s="173"/>
      <c r="AE58" s="173"/>
      <c r="AF58" s="173"/>
      <c r="AG58" s="173"/>
    </row>
    <row r="59" spans="2:33" x14ac:dyDescent="0.25">
      <c r="B59" s="186"/>
      <c r="C59" s="186"/>
      <c r="D59" s="210"/>
      <c r="E59" s="210"/>
      <c r="F59" s="210"/>
      <c r="G59" s="210"/>
      <c r="H59" s="210"/>
      <c r="I59" s="210"/>
      <c r="J59" s="211"/>
      <c r="Q59" s="209"/>
      <c r="R59" s="198"/>
      <c r="S59" s="401" t="s">
        <v>335</v>
      </c>
      <c r="T59" s="401"/>
      <c r="U59" s="401"/>
      <c r="V59" s="223">
        <f>$P$104/$K$104-1</f>
        <v>1.1864936265133172</v>
      </c>
      <c r="X59" s="186"/>
      <c r="Y59" s="189"/>
      <c r="Z59" s="173"/>
      <c r="AA59" s="173"/>
      <c r="AB59" s="173"/>
      <c r="AC59" s="173"/>
      <c r="AD59" s="173"/>
      <c r="AE59" s="173"/>
      <c r="AF59" s="173"/>
      <c r="AG59" s="173"/>
    </row>
    <row r="60" spans="2:33" x14ac:dyDescent="0.25">
      <c r="B60" s="401" t="s">
        <v>240</v>
      </c>
      <c r="C60" s="401"/>
      <c r="E60" s="168">
        <f>2362813/1000</f>
        <v>2362.8130000000001</v>
      </c>
      <c r="F60" s="168">
        <f>3963707/1000</f>
        <v>3963.7069999999999</v>
      </c>
      <c r="G60" s="168">
        <f>5543067/1000</f>
        <v>5543.067</v>
      </c>
      <c r="H60" s="206">
        <f>'Regional Information'!$K$23/1000</f>
        <v>7772.2520000000004</v>
      </c>
      <c r="I60" s="206">
        <f>'Regional Information'!$P$23/1000</f>
        <v>9699.8189999999995</v>
      </c>
      <c r="J60" s="207">
        <f>I60</f>
        <v>9699.8189999999995</v>
      </c>
      <c r="K60" s="208" cm="1">
        <f t="array" ref="K60">J60*(1+_xlfn.SWITCH($D$19, "Conservative", K85, "Base", K92, "Optimistic", K99))</f>
        <v>12083.738878902594</v>
      </c>
      <c r="L60" s="208" cm="1">
        <f t="array" ref="L60">K60*(1+_xlfn.SWITCH($D$19, "Conservative", L85, "Base", L92, "Optimistic", L99))</f>
        <v>15053.553606876801</v>
      </c>
      <c r="M60" s="208" cm="1">
        <f t="array" ref="M60">L60*(1+_xlfn.SWITCH($D$19, "Conservative", M85, "Base", M92, "Optimistic", M99))</f>
        <v>18753.258280908292</v>
      </c>
      <c r="N60" s="208" cm="1">
        <f t="array" ref="N60">M60*(1+_xlfn.SWITCH($D$19, "Conservative", N85, "Base", N92, "Optimistic", N99))</f>
        <v>23362.237604136073</v>
      </c>
      <c r="O60" s="208" cm="1">
        <f t="array" ref="O60">N60*(1+_xlfn.SWITCH($D$19, "Conservative", O85, "Base", O92, "Optimistic", O99))</f>
        <v>29103.963572439781</v>
      </c>
      <c r="P60" s="208" cm="1">
        <f t="array" ref="P60">O60*(1+_xlfn.SWITCH($D$19, "Conservative", P85, "Base", P92, "Optimistic", P99))</f>
        <v>36256.830787301849</v>
      </c>
      <c r="Q60" s="209"/>
      <c r="R60" s="198"/>
      <c r="S60" s="401" t="s">
        <v>336</v>
      </c>
      <c r="T60" s="401"/>
      <c r="U60" s="401"/>
      <c r="V60" s="223">
        <f>$I$104/$D$104-1</f>
        <v>1.7701774013105323</v>
      </c>
      <c r="X60" s="344"/>
      <c r="Y60" s="189"/>
      <c r="Z60" s="173"/>
      <c r="AA60" s="173"/>
      <c r="AB60" s="173"/>
      <c r="AC60" s="173"/>
      <c r="AD60" s="173"/>
      <c r="AE60" s="173"/>
      <c r="AF60" s="173"/>
      <c r="AG60" s="173"/>
    </row>
    <row r="61" spans="2:33" x14ac:dyDescent="0.25">
      <c r="B61" s="186" t="s">
        <v>252</v>
      </c>
      <c r="C61" s="186"/>
      <c r="D61" s="210"/>
      <c r="E61" s="210">
        <f t="shared" ref="E61:I61" si="26">E60/E$46</f>
        <v>0.20207568594217615</v>
      </c>
      <c r="F61" s="210">
        <f t="shared" si="26"/>
        <v>0.25096283398759023</v>
      </c>
      <c r="G61" s="210">
        <f t="shared" si="26"/>
        <v>0.27500828537408217</v>
      </c>
      <c r="H61" s="210">
        <f t="shared" si="26"/>
        <v>0.31093983037285966</v>
      </c>
      <c r="I61" s="210">
        <f t="shared" si="26"/>
        <v>0.32661522661458681</v>
      </c>
      <c r="J61" s="211">
        <f>AVERAGE(E61:I61)</f>
        <v>0.27312037245825899</v>
      </c>
      <c r="K61" s="288">
        <f>K60/K46</f>
        <v>0.36091937467621837</v>
      </c>
      <c r="L61" s="288">
        <f t="shared" ref="L61:P61" si="27">L60/L46</f>
        <v>0.38314689098305327</v>
      </c>
      <c r="M61" s="288">
        <f t="shared" si="27"/>
        <v>0.38479840843325019</v>
      </c>
      <c r="N61" s="288">
        <f t="shared" si="27"/>
        <v>0.40586022709769803</v>
      </c>
      <c r="O61" s="288">
        <f t="shared" si="27"/>
        <v>0.42750825109658502</v>
      </c>
      <c r="P61" s="288">
        <f t="shared" si="27"/>
        <v>0.44943515215889362</v>
      </c>
      <c r="Q61" s="289">
        <f>AVERAGE(K61:P61)</f>
        <v>0.40194471740761645</v>
      </c>
      <c r="R61" s="198"/>
      <c r="S61" s="346" t="s">
        <v>323</v>
      </c>
      <c r="V61" s="341">
        <f>V59-V60</f>
        <v>-0.583683774797215</v>
      </c>
      <c r="X61" s="186"/>
      <c r="Y61" s="189"/>
      <c r="Z61" s="173"/>
      <c r="AA61" s="173"/>
      <c r="AB61" s="173"/>
      <c r="AC61" s="173"/>
      <c r="AD61" s="173"/>
      <c r="AE61" s="173"/>
      <c r="AF61" s="173"/>
      <c r="AG61" s="173"/>
    </row>
    <row r="62" spans="2:33" x14ac:dyDescent="0.25">
      <c r="B62" s="186" t="s">
        <v>267</v>
      </c>
      <c r="C62" s="186"/>
      <c r="D62" s="210"/>
      <c r="E62" s="210"/>
      <c r="F62" s="210">
        <f>F60/E60-1</f>
        <v>0.67753732521363297</v>
      </c>
      <c r="G62" s="210">
        <f t="shared" ref="G62:I62" si="28">G60/F60-1</f>
        <v>0.39845528440926636</v>
      </c>
      <c r="H62" s="210">
        <f t="shared" si="28"/>
        <v>0.4021573255383708</v>
      </c>
      <c r="I62" s="210">
        <f t="shared" si="28"/>
        <v>0.24800624066229449</v>
      </c>
      <c r="J62" s="211">
        <f>AVERAGE(E62:I62)</f>
        <v>0.43153904395589116</v>
      </c>
      <c r="K62" s="288">
        <f>K60/J60-1</f>
        <v>0.24576952197794566</v>
      </c>
      <c r="L62" s="288">
        <f t="shared" ref="L62:P62" si="29">L60/K60-1</f>
        <v>0.24576952197794566</v>
      </c>
      <c r="M62" s="288">
        <f t="shared" si="29"/>
        <v>0.24576952197794566</v>
      </c>
      <c r="N62" s="288">
        <f t="shared" si="29"/>
        <v>0.24576952197794566</v>
      </c>
      <c r="O62" s="288">
        <f t="shared" si="29"/>
        <v>0.24576952197794566</v>
      </c>
      <c r="P62" s="288">
        <f t="shared" si="29"/>
        <v>0.24576952197794566</v>
      </c>
      <c r="Q62" s="289">
        <f>AVERAGE(K62:P62)</f>
        <v>0.24576952197794566</v>
      </c>
      <c r="R62" s="198"/>
      <c r="X62" s="186"/>
      <c r="Y62" s="189"/>
      <c r="Z62" s="173"/>
      <c r="AA62" s="173"/>
      <c r="AB62" s="173"/>
      <c r="AC62" s="173"/>
      <c r="AD62" s="173"/>
      <c r="AE62" s="173"/>
      <c r="AF62" s="173"/>
      <c r="AG62" s="173"/>
    </row>
    <row r="63" spans="2:33" s="345" customFormat="1" ht="18" x14ac:dyDescent="0.25">
      <c r="B63" s="219" t="s">
        <v>549</v>
      </c>
      <c r="C63" s="344"/>
      <c r="D63" s="196"/>
      <c r="E63" s="196"/>
      <c r="F63" s="196"/>
      <c r="G63" s="196"/>
      <c r="H63" s="196"/>
      <c r="I63" s="196"/>
      <c r="J63" s="232"/>
      <c r="K63" s="367">
        <f>INDEX(Table35[Forecast], MATCH(K41, Table35[Timeline], 0))</f>
        <v>11493.258257335308</v>
      </c>
      <c r="L63" s="367">
        <f>INDEX(Table35[Forecast], MATCH(L41, Table35[Timeline], 0))</f>
        <v>13357.568785455034</v>
      </c>
      <c r="M63" s="367">
        <f>INDEX(Table35[Forecast], MATCH(M41, Table35[Timeline], 0))</f>
        <v>15221.879313574762</v>
      </c>
      <c r="N63" s="367">
        <f>INDEX(Table35[Forecast], MATCH(N41, Table35[Timeline], 0))</f>
        <v>17086.18984169449</v>
      </c>
      <c r="O63" s="367">
        <f>INDEX(Table35[Forecast], MATCH(O41, Table35[Timeline], 0))</f>
        <v>18950.500369814217</v>
      </c>
      <c r="P63" s="367">
        <f>INDEX(Table35[Forecast], MATCH(P41, Table35[Timeline], 0))</f>
        <v>20814.810897933945</v>
      </c>
      <c r="Q63" s="363">
        <f>AVERAGE(K63:P63)</f>
        <v>16154.034577634624</v>
      </c>
      <c r="R63" s="198"/>
      <c r="S63" s="402" t="s">
        <v>326</v>
      </c>
      <c r="T63" s="402"/>
      <c r="U63" s="402"/>
      <c r="V63" s="402"/>
      <c r="W63" s="173"/>
      <c r="X63" s="344"/>
      <c r="Y63" s="189"/>
      <c r="Z63" s="173"/>
      <c r="AA63" s="173"/>
      <c r="AB63" s="173"/>
      <c r="AC63" s="173"/>
      <c r="AD63" s="173"/>
      <c r="AE63" s="173"/>
      <c r="AF63" s="173"/>
      <c r="AG63" s="173"/>
    </row>
    <row r="64" spans="2:33" s="345" customFormat="1" x14ac:dyDescent="0.2">
      <c r="B64" s="219" t="s">
        <v>548</v>
      </c>
      <c r="C64" s="344"/>
      <c r="D64" s="196"/>
      <c r="E64" s="203"/>
      <c r="F64" s="203"/>
      <c r="G64" s="203"/>
      <c r="H64" s="203"/>
      <c r="I64" s="204"/>
      <c r="J64" s="175"/>
      <c r="K64" s="366">
        <f>K63-K60</f>
        <v>-590.4806215672852</v>
      </c>
      <c r="L64" s="366">
        <f t="shared" ref="L64" si="30">L63-L60</f>
        <v>-1695.9848214217673</v>
      </c>
      <c r="M64" s="366">
        <f t="shared" ref="M64" si="31">M63-M60</f>
        <v>-3531.3789673335305</v>
      </c>
      <c r="N64" s="366">
        <f t="shared" ref="N64" si="32">N63-N60</f>
        <v>-6276.0477624415835</v>
      </c>
      <c r="O64" s="366">
        <f t="shared" ref="O64" si="33">O63-O60</f>
        <v>-10153.463202625564</v>
      </c>
      <c r="P64" s="366">
        <f t="shared" ref="P64" si="34">P63-P60</f>
        <v>-15442.019889367904</v>
      </c>
      <c r="Q64" s="365">
        <f>Q57-Q63</f>
        <v>2353.5258283120365</v>
      </c>
      <c r="R64" s="198"/>
      <c r="S64" s="401" t="s">
        <v>585</v>
      </c>
      <c r="T64" s="401"/>
      <c r="U64" s="401"/>
      <c r="V64" s="223">
        <f>($P$141/$K$141)^(1/6)-1</f>
        <v>0.14567888933389428</v>
      </c>
      <c r="W64" s="173"/>
      <c r="X64" s="344"/>
      <c r="Y64" s="189"/>
      <c r="Z64" s="173"/>
      <c r="AA64" s="173"/>
      <c r="AB64" s="173"/>
      <c r="AC64" s="173"/>
      <c r="AD64" s="173"/>
      <c r="AE64" s="173"/>
      <c r="AF64" s="173"/>
      <c r="AG64" s="173"/>
    </row>
    <row r="65" spans="2:33" x14ac:dyDescent="0.25">
      <c r="B65" s="186"/>
      <c r="C65" s="186"/>
      <c r="D65" s="210"/>
      <c r="E65" s="210"/>
      <c r="F65" s="210"/>
      <c r="G65" s="210"/>
      <c r="H65" s="210"/>
      <c r="I65" s="210"/>
      <c r="J65" s="211"/>
      <c r="Q65" s="209"/>
      <c r="R65" s="198"/>
      <c r="S65" s="401" t="s">
        <v>586</v>
      </c>
      <c r="T65" s="401"/>
      <c r="U65" s="401"/>
      <c r="V65" s="223">
        <f>($I$141/$D$141)^(1/6)-1</f>
        <v>0.18814585211391699</v>
      </c>
      <c r="X65" s="186"/>
      <c r="Y65" s="189"/>
      <c r="Z65" s="173"/>
      <c r="AA65" s="173"/>
      <c r="AB65" s="173"/>
      <c r="AC65" s="173"/>
      <c r="AD65" s="173"/>
      <c r="AE65" s="173"/>
      <c r="AF65" s="173"/>
      <c r="AG65" s="173"/>
    </row>
    <row r="66" spans="2:33" x14ac:dyDescent="0.25">
      <c r="B66" s="401" t="s">
        <v>241</v>
      </c>
      <c r="C66" s="401"/>
      <c r="D66" s="173"/>
      <c r="E66" s="186">
        <f>1642616/1000</f>
        <v>1642.616</v>
      </c>
      <c r="F66" s="186">
        <f>2237697/1000</f>
        <v>2237.6970000000001</v>
      </c>
      <c r="G66" s="186">
        <f>2795434/1000</f>
        <v>2795.4340000000002</v>
      </c>
      <c r="H66" s="206">
        <f>'Regional Information'!$K$34/1000</f>
        <v>3156.7269999999999</v>
      </c>
      <c r="I66" s="206">
        <f>'Regional Information'!$P$34/1000</f>
        <v>3576.9760000000001</v>
      </c>
      <c r="J66" s="207">
        <f>I66</f>
        <v>3576.9760000000001</v>
      </c>
      <c r="K66" s="208" cm="1">
        <f t="array" ref="K66">J66*(1+_xlfn.SWITCH($D$20, "Conservative", K86, "Base", K93, "Optimistic", K100))</f>
        <v>4286.9113344752168</v>
      </c>
      <c r="L66" s="208" cm="1">
        <f t="array" ref="L66">K66*(1+_xlfn.SWITCH($D$20, "Conservative", L86, "Base", L93, "Optimistic", L100))</f>
        <v>5137.750096632486</v>
      </c>
      <c r="M66" s="208" cm="1">
        <f t="array" ref="M66">L66*(1+_xlfn.SWITCH($D$20, "Conservative", M86, "Base", M93, "Optimistic", M100))</f>
        <v>6157.4578982232324</v>
      </c>
      <c r="N66" s="208" cm="1">
        <f t="array" ref="N66">M66*(1+_xlfn.SWITCH($D$20, "Conservative", N86, "Base", N93, "Optimistic", N100))</f>
        <v>7379.5507868789509</v>
      </c>
      <c r="O66" s="208" cm="1">
        <f t="array" ref="O66">N66*(1+_xlfn.SWITCH($D$20, "Conservative", O86, "Base", O93, "Optimistic", O100))</f>
        <v>8844.1968611494394</v>
      </c>
      <c r="P66" s="208" cm="1">
        <f t="array" ref="P66">O66*(1+_xlfn.SWITCH($D$20, "Conservative", P86, "Base", P93, "Optimistic", P100))</f>
        <v>10599.536527052926</v>
      </c>
      <c r="Q66" s="213"/>
      <c r="R66" s="198"/>
      <c r="S66" s="346" t="s">
        <v>323</v>
      </c>
      <c r="V66" s="341">
        <f>V64-V65</f>
        <v>-4.246696278002271E-2</v>
      </c>
      <c r="X66" s="186"/>
      <c r="Y66" s="189"/>
      <c r="Z66" s="173"/>
      <c r="AA66" s="173"/>
      <c r="AB66" s="173"/>
      <c r="AC66" s="173"/>
      <c r="AD66" s="173"/>
      <c r="AE66" s="173"/>
      <c r="AF66" s="173"/>
      <c r="AG66" s="173"/>
    </row>
    <row r="67" spans="2:33" x14ac:dyDescent="0.25">
      <c r="B67" s="186" t="s">
        <v>252</v>
      </c>
      <c r="C67" s="186"/>
      <c r="D67" s="210"/>
      <c r="E67" s="210">
        <f t="shared" ref="E67:I67" si="35">E66/E$46</f>
        <v>0.14048202500138335</v>
      </c>
      <c r="F67" s="210">
        <f t="shared" si="35"/>
        <v>0.14168019501076359</v>
      </c>
      <c r="G67" s="210">
        <f t="shared" si="35"/>
        <v>0.13868991863464974</v>
      </c>
      <c r="H67" s="210">
        <f t="shared" si="35"/>
        <v>0.12628928628580571</v>
      </c>
      <c r="I67" s="210">
        <f t="shared" si="35"/>
        <v>0.12044501313219746</v>
      </c>
      <c r="J67" s="211">
        <f>AVERAGE(E67:I67)</f>
        <v>0.13351728761295997</v>
      </c>
      <c r="K67" s="288">
        <f>K66/K46</f>
        <v>0.12804227016462164</v>
      </c>
      <c r="L67" s="288">
        <f t="shared" ref="L67:P67" si="36">L66/L46</f>
        <v>0.13076732760783857</v>
      </c>
      <c r="M67" s="288">
        <f t="shared" si="36"/>
        <v>0.12634497769612585</v>
      </c>
      <c r="N67" s="288">
        <f t="shared" si="36"/>
        <v>0.12820116844079343</v>
      </c>
      <c r="O67" s="288">
        <f t="shared" si="36"/>
        <v>0.12991244725320913</v>
      </c>
      <c r="P67" s="288">
        <f t="shared" si="36"/>
        <v>0.13139053271909798</v>
      </c>
      <c r="Q67" s="289">
        <f>AVERAGE(K67:P67)</f>
        <v>0.12910978731361442</v>
      </c>
      <c r="R67" s="198"/>
      <c r="S67" s="401" t="s">
        <v>335</v>
      </c>
      <c r="T67" s="401"/>
      <c r="U67" s="401"/>
      <c r="V67" s="223">
        <f>$P$141/$K$141-1</f>
        <v>1.2614003979568076</v>
      </c>
      <c r="X67" s="186"/>
      <c r="Y67" s="189"/>
      <c r="Z67" s="173"/>
      <c r="AA67" s="173"/>
      <c r="AB67" s="173"/>
      <c r="AC67" s="173"/>
      <c r="AD67" s="173"/>
      <c r="AE67" s="173"/>
      <c r="AF67" s="173"/>
      <c r="AG67" s="173"/>
    </row>
    <row r="68" spans="2:33" x14ac:dyDescent="0.25">
      <c r="B68" s="186" t="s">
        <v>267</v>
      </c>
      <c r="C68" s="186"/>
      <c r="D68" s="210"/>
      <c r="E68" s="210"/>
      <c r="F68" s="210">
        <f>F66/E66-1</f>
        <v>0.36227639326537675</v>
      </c>
      <c r="G68" s="210">
        <f t="shared" ref="G68:I68" si="37">G66/F66-1</f>
        <v>0.2492459881744491</v>
      </c>
      <c r="H68" s="210">
        <f t="shared" si="37"/>
        <v>0.12924397428091661</v>
      </c>
      <c r="I68" s="210">
        <f t="shared" si="37"/>
        <v>0.13312807854464448</v>
      </c>
      <c r="J68" s="211">
        <f>AVERAGE(E68:I68)</f>
        <v>0.21847360856634673</v>
      </c>
      <c r="K68" s="288">
        <f>K66/J66-1</f>
        <v>0.19847360856634677</v>
      </c>
      <c r="L68" s="288">
        <f t="shared" ref="L68:P68" si="38">L66/K66-1</f>
        <v>0.19847360856634677</v>
      </c>
      <c r="M68" s="288">
        <f t="shared" si="38"/>
        <v>0.19847360856634677</v>
      </c>
      <c r="N68" s="288">
        <f t="shared" si="38"/>
        <v>0.19847360856634677</v>
      </c>
      <c r="O68" s="288">
        <f t="shared" si="38"/>
        <v>0.19847360856634677</v>
      </c>
      <c r="P68" s="288">
        <f t="shared" si="38"/>
        <v>0.19847360856634677</v>
      </c>
      <c r="Q68" s="289">
        <f>AVERAGE(K68:P68)</f>
        <v>0.19847360856634677</v>
      </c>
      <c r="R68" s="198"/>
      <c r="S68" s="401" t="s">
        <v>336</v>
      </c>
      <c r="T68" s="401"/>
      <c r="U68" s="401"/>
      <c r="V68" s="223">
        <f>$I$141/$D$141-1</f>
        <v>1.813316136397416</v>
      </c>
      <c r="X68" s="186"/>
      <c r="Y68" s="189"/>
      <c r="Z68" s="173"/>
      <c r="AA68" s="173"/>
      <c r="AB68" s="173"/>
      <c r="AC68" s="173"/>
      <c r="AD68" s="173"/>
      <c r="AE68" s="173"/>
      <c r="AF68" s="173"/>
      <c r="AG68" s="173"/>
    </row>
    <row r="69" spans="2:33" s="345" customFormat="1" x14ac:dyDescent="0.25">
      <c r="B69" s="219" t="s">
        <v>549</v>
      </c>
      <c r="C69" s="344"/>
      <c r="D69" s="196"/>
      <c r="E69" s="196"/>
      <c r="F69" s="196"/>
      <c r="G69" s="196"/>
      <c r="H69" s="196"/>
      <c r="I69" s="196"/>
      <c r="J69" s="232"/>
      <c r="K69" s="367">
        <f>INDEX(Table36[Forecast], MATCH(K41, Table36[Timeline], 0))</f>
        <v>4085.4231180860861</v>
      </c>
      <c r="L69" s="367">
        <f>INDEX(Table36[Forecast], MATCH(L41, Table36[Timeline], 0))</f>
        <v>4558.0712792708755</v>
      </c>
      <c r="M69" s="367">
        <f>INDEX(Table36[Forecast], MATCH(M41, Table36[Timeline], 0))</f>
        <v>5030.7194404556649</v>
      </c>
      <c r="N69" s="367">
        <f>INDEX(Table36[Forecast], MATCH(N41, Table36[Timeline], 0))</f>
        <v>5503.3676016404552</v>
      </c>
      <c r="O69" s="367">
        <f>INDEX(Table36[Forecast], MATCH(O41, Table36[Timeline], 0))</f>
        <v>5976.0157628252437</v>
      </c>
      <c r="P69" s="367">
        <f>INDEX(Table36[Forecast], MATCH(P41, Table36[Timeline], 0))</f>
        <v>6448.663924010034</v>
      </c>
      <c r="Q69" s="363">
        <f>AVERAGE(K69:P69)</f>
        <v>5267.04352104806</v>
      </c>
      <c r="R69" s="198"/>
      <c r="S69" s="346" t="s">
        <v>323</v>
      </c>
      <c r="T69" s="173"/>
      <c r="U69" s="173"/>
      <c r="V69" s="341">
        <f>V67-V68</f>
        <v>-0.55191573844060837</v>
      </c>
      <c r="W69" s="173"/>
      <c r="X69" s="344"/>
      <c r="Y69" s="189"/>
      <c r="Z69" s="173"/>
      <c r="AA69" s="173"/>
      <c r="AB69" s="173"/>
      <c r="AC69" s="173"/>
      <c r="AD69" s="173"/>
      <c r="AE69" s="173"/>
      <c r="AF69" s="173"/>
      <c r="AG69" s="173"/>
    </row>
    <row r="70" spans="2:33" s="345" customFormat="1" ht="15" x14ac:dyDescent="0.25">
      <c r="B70" s="219" t="s">
        <v>548</v>
      </c>
      <c r="C70" s="344"/>
      <c r="D70" s="196"/>
      <c r="E70" s="203"/>
      <c r="F70" s="203"/>
      <c r="G70" s="203"/>
      <c r="H70" s="203"/>
      <c r="I70" s="204"/>
      <c r="J70" s="175"/>
      <c r="K70" s="366">
        <f>K69-K66</f>
        <v>-201.48821638913068</v>
      </c>
      <c r="L70" s="366">
        <f t="shared" ref="L70" si="39">L69-L66</f>
        <v>-579.67881736161053</v>
      </c>
      <c r="M70" s="366">
        <f t="shared" ref="M70" si="40">M69-M66</f>
        <v>-1126.7384577675675</v>
      </c>
      <c r="N70" s="366">
        <f t="shared" ref="N70" si="41">N69-N66</f>
        <v>-1876.1831852384958</v>
      </c>
      <c r="O70" s="366">
        <f t="shared" ref="O70" si="42">O69-O66</f>
        <v>-2868.1810983241958</v>
      </c>
      <c r="P70" s="366">
        <f t="shared" ref="P70" si="43">P69-P66</f>
        <v>-4150.8726030428916</v>
      </c>
      <c r="Q70" s="365">
        <f>Q63-Q69</f>
        <v>10886.991056586565</v>
      </c>
      <c r="R70" s="198"/>
      <c r="S70"/>
      <c r="T70"/>
      <c r="U70"/>
      <c r="V70"/>
      <c r="W70" s="173"/>
      <c r="X70" s="344"/>
      <c r="Y70" s="189"/>
      <c r="Z70" s="173"/>
      <c r="AA70" s="173"/>
      <c r="AB70" s="173"/>
      <c r="AC70" s="173"/>
      <c r="AD70" s="173"/>
      <c r="AE70" s="173"/>
      <c r="AF70" s="173"/>
      <c r="AG70" s="173"/>
    </row>
    <row r="71" spans="2:33" ht="18" x14ac:dyDescent="0.25">
      <c r="B71" s="186"/>
      <c r="C71" s="186"/>
      <c r="D71" s="210"/>
      <c r="E71" s="210"/>
      <c r="F71" s="210"/>
      <c r="G71" s="210"/>
      <c r="H71" s="210"/>
      <c r="I71" s="210"/>
      <c r="J71" s="211"/>
      <c r="Q71" s="213"/>
      <c r="R71" s="198"/>
      <c r="S71" s="402" t="s">
        <v>329</v>
      </c>
      <c r="T71" s="402"/>
      <c r="U71" s="402"/>
      <c r="V71" s="402"/>
      <c r="X71" s="186"/>
      <c r="Y71" s="189"/>
      <c r="Z71" s="173"/>
      <c r="AA71" s="173"/>
      <c r="AB71" s="173"/>
      <c r="AC71" s="173"/>
      <c r="AD71" s="173"/>
      <c r="AE71" s="173"/>
      <c r="AF71" s="173"/>
      <c r="AG71" s="173"/>
    </row>
    <row r="72" spans="2:33" x14ac:dyDescent="0.25">
      <c r="B72" s="186" t="s">
        <v>242</v>
      </c>
      <c r="C72" s="186"/>
      <c r="D72" s="173"/>
      <c r="E72" s="186">
        <f>575928/1000</f>
        <v>575.928</v>
      </c>
      <c r="F72" s="186">
        <f>945816/1000</f>
        <v>945.81600000000003</v>
      </c>
      <c r="G72" s="186">
        <f>1469521/1000</f>
        <v>1469.521</v>
      </c>
      <c r="H72" s="206">
        <f>'Regional Information'!$K$45/1000</f>
        <v>2372.3000000000002</v>
      </c>
      <c r="I72" s="206">
        <f>'Regional Information'!$P$45/1000</f>
        <v>3266.6010000000001</v>
      </c>
      <c r="J72" s="207">
        <f>I72</f>
        <v>3266.6010000000001</v>
      </c>
      <c r="K72" s="208" cm="1">
        <f t="array" ref="K72">J72*(1+_xlfn.SWITCH($D$21, "Conservative", K87, "Base", K94, "Optimistic", K101))</f>
        <v>4072.8519593459</v>
      </c>
      <c r="L72" s="208" cm="1">
        <f t="array" ref="L72">K72*(1+_xlfn.SWITCH($D$21, "Conservative", L87, "Base", L94, "Optimistic", L101))</f>
        <v>5078.0989422178391</v>
      </c>
      <c r="M72" s="208" cm="1">
        <f t="array" ref="M72">L72*(1+_xlfn.SWITCH($D$21, "Conservative", M87, "Base", M94, "Optimistic", M101))</f>
        <v>6331.4574466132435</v>
      </c>
      <c r="N72" s="208" cm="1">
        <f t="array" ref="N72">M72*(1+_xlfn.SWITCH($D$21, "Conservative", N87, "Base", N94, "Optimistic", N101))</f>
        <v>7894.1654848430944</v>
      </c>
      <c r="O72" s="208" cm="1">
        <f t="array" ref="O72">N72*(1+_xlfn.SWITCH($D$21, "Conservative", O87, "Base", O94, "Optimistic", O101))</f>
        <v>9842.5756198396957</v>
      </c>
      <c r="P72" s="208" cm="1">
        <f t="array" ref="P72">O72*(1+_xlfn.SWITCH($D$21, "Conservative", P87, "Base", P94, "Optimistic", P101))</f>
        <v>12271.885485333009</v>
      </c>
      <c r="Q72" s="214"/>
      <c r="R72" s="198"/>
      <c r="S72" s="401" t="s">
        <v>585</v>
      </c>
      <c r="T72" s="401"/>
      <c r="U72" s="401"/>
      <c r="V72" s="223">
        <f>($P$144/$K$144)^(1/6)-1</f>
        <v>0.24261329592108916</v>
      </c>
      <c r="X72" s="186"/>
      <c r="Y72" s="189"/>
      <c r="Z72" s="173"/>
      <c r="AA72" s="173"/>
      <c r="AB72" s="173"/>
      <c r="AC72" s="173"/>
      <c r="AD72" s="173"/>
      <c r="AE72" s="173"/>
      <c r="AF72" s="173"/>
      <c r="AG72" s="173"/>
    </row>
    <row r="73" spans="2:33" x14ac:dyDescent="0.25">
      <c r="B73" s="186" t="s">
        <v>252</v>
      </c>
      <c r="C73" s="186"/>
      <c r="D73" s="210"/>
      <c r="E73" s="210">
        <f t="shared" ref="E73:I73" si="44">E72/E$46</f>
        <v>4.9255292591206166E-2</v>
      </c>
      <c r="F73" s="210">
        <f t="shared" si="44"/>
        <v>5.9884513106242876E-2</v>
      </c>
      <c r="G73" s="210">
        <f t="shared" si="44"/>
        <v>7.2907372494542572E-2</v>
      </c>
      <c r="H73" s="210">
        <f t="shared" si="44"/>
        <v>9.4907185149623943E-2</v>
      </c>
      <c r="I73" s="210">
        <f t="shared" si="44"/>
        <v>0.10999397265809145</v>
      </c>
      <c r="J73" s="211">
        <f>AVERAGE(E73:I73)</f>
        <v>7.7389667199941406E-2</v>
      </c>
      <c r="K73" s="288">
        <f>K72/K46</f>
        <v>0.12164870468050291</v>
      </c>
      <c r="L73" s="288">
        <f t="shared" ref="L73:P73" si="45">L72/L46</f>
        <v>0.12924907119115558</v>
      </c>
      <c r="M73" s="288">
        <f t="shared" si="45"/>
        <v>0.12991527722944715</v>
      </c>
      <c r="N73" s="288">
        <f t="shared" si="45"/>
        <v>0.13714130686942425</v>
      </c>
      <c r="O73" s="288">
        <f t="shared" si="45"/>
        <v>0.1445776373053238</v>
      </c>
      <c r="P73" s="288">
        <f t="shared" si="45"/>
        <v>0.15212076181542075</v>
      </c>
      <c r="Q73" s="289">
        <f>AVERAGE(K73:P73)</f>
        <v>0.13577545984854575</v>
      </c>
      <c r="R73" s="198"/>
      <c r="S73" s="401" t="s">
        <v>586</v>
      </c>
      <c r="T73" s="401"/>
      <c r="U73" s="401"/>
      <c r="V73" s="223">
        <f>($I$144/$D$144)^(1/6)-1</f>
        <v>0.59192445666441085</v>
      </c>
      <c r="X73" s="186"/>
      <c r="Y73" s="189"/>
      <c r="Z73" s="173"/>
      <c r="AA73" s="173"/>
      <c r="AB73" s="173"/>
      <c r="AC73" s="173"/>
      <c r="AD73" s="173"/>
      <c r="AE73" s="173"/>
      <c r="AF73" s="173"/>
      <c r="AG73" s="173"/>
    </row>
    <row r="74" spans="2:33" x14ac:dyDescent="0.25">
      <c r="B74" s="186" t="s">
        <v>267</v>
      </c>
      <c r="C74" s="186"/>
      <c r="D74" s="210"/>
      <c r="E74" s="210"/>
      <c r="F74" s="210">
        <f>F72/E72-1</f>
        <v>0.64224694753510869</v>
      </c>
      <c r="G74" s="210">
        <f t="shared" ref="G74:I74" si="46">G72/F72-1</f>
        <v>0.55370706353032717</v>
      </c>
      <c r="H74" s="210">
        <f t="shared" si="46"/>
        <v>0.61433555559940967</v>
      </c>
      <c r="I74" s="210">
        <f t="shared" si="46"/>
        <v>0.37697635206339841</v>
      </c>
      <c r="J74" s="211">
        <f>AVERAGE(E74:I74)</f>
        <v>0.54681647968206093</v>
      </c>
      <c r="K74" s="288">
        <f>K72/J72-1</f>
        <v>0.24681647968206089</v>
      </c>
      <c r="L74" s="288">
        <f t="shared" ref="L74:O74" si="47">L72/K72-1</f>
        <v>0.24681647968206089</v>
      </c>
      <c r="M74" s="288">
        <f t="shared" si="47"/>
        <v>0.24681647968206089</v>
      </c>
      <c r="N74" s="288">
        <f t="shared" si="47"/>
        <v>0.24681647968206089</v>
      </c>
      <c r="O74" s="288">
        <f t="shared" si="47"/>
        <v>0.24681647968206089</v>
      </c>
      <c r="P74" s="288">
        <f>P72/O72-1</f>
        <v>0.24681647968206089</v>
      </c>
      <c r="Q74" s="289">
        <f>AVERAGE(K74:P74)</f>
        <v>0.24681647968206089</v>
      </c>
      <c r="R74" s="198"/>
      <c r="S74" s="346" t="s">
        <v>323</v>
      </c>
      <c r="V74" s="341">
        <f>V72-V73</f>
        <v>-0.34931116074332169</v>
      </c>
      <c r="X74" s="186"/>
      <c r="Y74" s="189"/>
      <c r="Z74" s="173"/>
      <c r="AA74" s="173"/>
      <c r="AB74" s="173"/>
      <c r="AC74" s="173"/>
      <c r="AD74" s="173"/>
      <c r="AE74" s="173"/>
      <c r="AF74" s="173"/>
      <c r="AG74" s="173"/>
    </row>
    <row r="75" spans="2:33" s="345" customFormat="1" x14ac:dyDescent="0.25">
      <c r="B75" s="219" t="s">
        <v>549</v>
      </c>
      <c r="C75" s="344"/>
      <c r="D75" s="196"/>
      <c r="E75" s="196"/>
      <c r="F75" s="196"/>
      <c r="G75" s="196"/>
      <c r="H75" s="196"/>
      <c r="I75" s="196"/>
      <c r="J75" s="232"/>
      <c r="K75" s="367">
        <f>INDEX(Table37[Forecast], MATCH(K41, Table37[Timeline], 0))</f>
        <v>3853.4056953338049</v>
      </c>
      <c r="L75" s="367">
        <f>INDEX(Table37[Forecast], MATCH(L41, Table37[Timeline], 0))</f>
        <v>4549.3383823449949</v>
      </c>
      <c r="M75" s="367">
        <f>INDEX(Table37[Forecast], MATCH(M41, Table37[Timeline], 0))</f>
        <v>5245.2710693561858</v>
      </c>
      <c r="N75" s="367">
        <f>INDEX(Table37[Forecast], MATCH(N41, Table37[Timeline], 0))</f>
        <v>5941.2037563673766</v>
      </c>
      <c r="O75" s="367">
        <f>INDEX(Table37[Forecast], MATCH(O41, Table37[Timeline], 0))</f>
        <v>6637.1364433785675</v>
      </c>
      <c r="P75" s="367">
        <f>INDEX(Table37[Forecast], MATCH(P41, Table37[Timeline], 0))</f>
        <v>7333.0691303897574</v>
      </c>
      <c r="Q75" s="363">
        <f>AVERAGE(K75:P75)</f>
        <v>5593.2374128617812</v>
      </c>
      <c r="R75" s="198"/>
      <c r="S75" s="401" t="s">
        <v>335</v>
      </c>
      <c r="T75" s="401"/>
      <c r="U75" s="401"/>
      <c r="V75" s="223">
        <f>$P$155/$K$155-1</f>
        <v>2.5656563956057643</v>
      </c>
      <c r="W75" s="173"/>
      <c r="X75" s="344"/>
      <c r="Y75" s="189"/>
      <c r="Z75" s="173"/>
      <c r="AA75" s="173"/>
      <c r="AB75" s="173"/>
      <c r="AC75" s="173"/>
      <c r="AD75" s="173"/>
      <c r="AE75" s="173"/>
      <c r="AF75" s="173"/>
      <c r="AG75" s="173"/>
    </row>
    <row r="76" spans="2:33" s="345" customFormat="1" x14ac:dyDescent="0.2">
      <c r="B76" s="219" t="s">
        <v>548</v>
      </c>
      <c r="C76" s="344"/>
      <c r="D76" s="196"/>
      <c r="E76" s="203"/>
      <c r="F76" s="203"/>
      <c r="G76" s="203"/>
      <c r="H76" s="203"/>
      <c r="I76" s="204"/>
      <c r="J76" s="175"/>
      <c r="K76" s="366">
        <f>K75-K72</f>
        <v>-219.44626401209507</v>
      </c>
      <c r="L76" s="366">
        <f t="shared" ref="L76" si="48">L75-L72</f>
        <v>-528.76055987284417</v>
      </c>
      <c r="M76" s="366">
        <f t="shared" ref="M76" si="49">M75-M72</f>
        <v>-1086.1863772570578</v>
      </c>
      <c r="N76" s="366">
        <f t="shared" ref="N76" si="50">N75-N72</f>
        <v>-1952.9617284757178</v>
      </c>
      <c r="O76" s="366">
        <f t="shared" ref="O76" si="51">O75-O72</f>
        <v>-3205.4391764611282</v>
      </c>
      <c r="P76" s="366">
        <f t="shared" ref="P76" si="52">P75-P72</f>
        <v>-4938.8163549432511</v>
      </c>
      <c r="Q76" s="365">
        <f>Q69-Q75</f>
        <v>-326.19389181372117</v>
      </c>
      <c r="R76" s="198"/>
      <c r="S76" s="401" t="s">
        <v>336</v>
      </c>
      <c r="T76" s="401"/>
      <c r="U76" s="401"/>
      <c r="V76" s="223">
        <f>$I$155/$D$155-1</f>
        <v>16.84240963383845</v>
      </c>
      <c r="W76" s="173"/>
      <c r="X76" s="344"/>
      <c r="Y76" s="189"/>
      <c r="Z76" s="173"/>
      <c r="AA76" s="173"/>
      <c r="AB76" s="173"/>
      <c r="AC76" s="173"/>
      <c r="AD76" s="173"/>
      <c r="AE76" s="173"/>
      <c r="AF76" s="173"/>
      <c r="AG76" s="173"/>
    </row>
    <row r="77" spans="2:33" x14ac:dyDescent="0.25">
      <c r="B77" s="186"/>
      <c r="C77" s="186"/>
      <c r="D77" s="210"/>
      <c r="E77" s="210"/>
      <c r="F77" s="210"/>
      <c r="G77" s="210"/>
      <c r="H77" s="210"/>
      <c r="I77" s="210"/>
      <c r="J77" s="211"/>
      <c r="Q77" s="213"/>
      <c r="R77" s="198"/>
      <c r="S77" s="346" t="s">
        <v>323</v>
      </c>
      <c r="V77" s="341">
        <f>V75-V76</f>
        <v>-14.276753238232686</v>
      </c>
      <c r="X77" s="186"/>
      <c r="Y77" s="189"/>
      <c r="Z77" s="173"/>
      <c r="AA77" s="173"/>
      <c r="AB77" s="173"/>
      <c r="AC77" s="173"/>
      <c r="AD77" s="173"/>
      <c r="AE77" s="173"/>
      <c r="AF77" s="173"/>
      <c r="AG77" s="173"/>
    </row>
    <row r="78" spans="2:33" x14ac:dyDescent="0.25">
      <c r="B78" s="418" t="s">
        <v>587</v>
      </c>
      <c r="C78" s="418"/>
      <c r="D78" s="418"/>
      <c r="E78" s="215"/>
      <c r="F78" s="215"/>
      <c r="G78" s="215"/>
      <c r="J78" s="207">
        <v>100</v>
      </c>
      <c r="K78" s="208" cm="1">
        <f t="array" ref="K78">J78*(1+_xlfn.SWITCH($D$22, "Conservative", K88, "Base", K95, "Optimistic", K102))</f>
        <v>110.83333333333334</v>
      </c>
      <c r="L78" s="208" cm="1">
        <f t="array" ref="L78">K78*(1+_xlfn.SWITCH($D$22, "Conservative", L88, "Base", L95, "Optimistic", L102))</f>
        <v>123.7638888888889</v>
      </c>
      <c r="M78" s="208" cm="1">
        <f t="array" ref="M78">L78*(1+_xlfn.SWITCH($D$22, "Conservative", M88, "Base", M95, "Optimistic", M102))</f>
        <v>139.234375</v>
      </c>
      <c r="N78" s="208" cm="1">
        <f t="array" ref="N78">M78*(1+_xlfn.SWITCH($D$22, "Conservative", N88, "Base", N95, "Optimistic", N102))</f>
        <v>157.79895833333333</v>
      </c>
      <c r="O78" s="208" cm="1">
        <f t="array" ref="O78">N78*(1+_xlfn.SWITCH($D$22, "Conservative", O88, "Base", O95, "Optimistic", O102))</f>
        <v>180.15381076388888</v>
      </c>
      <c r="P78" s="208" cm="1">
        <f t="array" ref="P78">O78*(1+_xlfn.SWITCH($D$22, "Conservative", P88, "Base", P95, "Optimistic", P102))</f>
        <v>207.17688237847221</v>
      </c>
      <c r="Q78" s="213"/>
      <c r="R78" s="198"/>
      <c r="X78" s="186"/>
      <c r="Y78" s="189"/>
      <c r="Z78" s="173"/>
      <c r="AA78" s="173"/>
      <c r="AB78" s="173"/>
      <c r="AC78" s="173"/>
      <c r="AD78" s="173"/>
      <c r="AE78" s="173"/>
      <c r="AF78" s="173"/>
      <c r="AG78" s="173"/>
    </row>
    <row r="79" spans="2:33" ht="18" x14ac:dyDescent="0.25">
      <c r="B79" s="186" t="s">
        <v>252</v>
      </c>
      <c r="C79" s="186"/>
      <c r="D79" s="210"/>
      <c r="E79" s="210"/>
      <c r="F79" s="210"/>
      <c r="G79" s="210"/>
      <c r="H79" s="210"/>
      <c r="I79" s="210"/>
      <c r="J79" s="211"/>
      <c r="K79" s="288">
        <f>K78/K46</f>
        <v>3.3103907458467345E-3</v>
      </c>
      <c r="L79" s="288">
        <f t="shared" ref="L79:P79" si="53">L78/L46</f>
        <v>3.1500701085016517E-3</v>
      </c>
      <c r="M79" s="288">
        <f t="shared" si="53"/>
        <v>2.8569523811092829E-3</v>
      </c>
      <c r="N79" s="288">
        <f t="shared" si="53"/>
        <v>2.7413607442126342E-3</v>
      </c>
      <c r="O79" s="288">
        <f t="shared" si="53"/>
        <v>2.646280132132495E-3</v>
      </c>
      <c r="P79" s="288">
        <f t="shared" si="53"/>
        <v>2.5681387929853061E-3</v>
      </c>
      <c r="Q79" s="289">
        <f>AVERAGE(K79:P79)</f>
        <v>2.8788654841313509E-3</v>
      </c>
      <c r="R79" s="198"/>
      <c r="S79" s="402" t="s">
        <v>328</v>
      </c>
      <c r="T79" s="402"/>
      <c r="U79" s="402"/>
      <c r="V79" s="402"/>
      <c r="X79" s="186"/>
      <c r="Y79" s="189"/>
      <c r="Z79" s="173"/>
      <c r="AA79" s="173"/>
      <c r="AB79" s="173"/>
      <c r="AC79" s="173"/>
      <c r="AD79" s="173"/>
      <c r="AE79" s="173"/>
      <c r="AF79" s="173"/>
      <c r="AG79" s="173"/>
    </row>
    <row r="80" spans="2:33" x14ac:dyDescent="0.25">
      <c r="B80" s="186" t="s">
        <v>267</v>
      </c>
      <c r="C80" s="186"/>
      <c r="D80" s="210"/>
      <c r="E80" s="210"/>
      <c r="F80" s="210"/>
      <c r="G80" s="210"/>
      <c r="H80" s="210"/>
      <c r="I80" s="210"/>
      <c r="J80" s="211"/>
      <c r="K80" s="288">
        <f>K78/J78-1</f>
        <v>0.10833333333333339</v>
      </c>
      <c r="L80" s="288">
        <f t="shared" ref="L80:P80" si="54">L78/K78-1</f>
        <v>0.1166666666666667</v>
      </c>
      <c r="M80" s="288">
        <f t="shared" si="54"/>
        <v>0.125</v>
      </c>
      <c r="N80" s="288">
        <f t="shared" si="54"/>
        <v>0.1333333333333333</v>
      </c>
      <c r="O80" s="288">
        <f t="shared" si="54"/>
        <v>0.14166666666666661</v>
      </c>
      <c r="P80" s="288">
        <f t="shared" si="54"/>
        <v>0.14999999999999991</v>
      </c>
      <c r="Q80" s="289">
        <f>AVERAGE(K80:P80)</f>
        <v>0.12916666666666665</v>
      </c>
      <c r="R80" s="198"/>
      <c r="S80" s="401" t="s">
        <v>585</v>
      </c>
      <c r="T80" s="401"/>
      <c r="U80" s="401"/>
      <c r="V80" s="223">
        <f>($P$157/$K$157)^(1/6)-1</f>
        <v>0.115623265972991</v>
      </c>
      <c r="X80" s="186"/>
      <c r="Y80" s="189"/>
      <c r="Z80" s="173"/>
      <c r="AA80" s="173"/>
      <c r="AB80" s="173"/>
      <c r="AC80" s="173"/>
      <c r="AD80" s="173"/>
      <c r="AE80" s="173"/>
      <c r="AF80" s="173"/>
      <c r="AG80" s="173"/>
    </row>
    <row r="81" spans="1:33" ht="15" thickBot="1" x14ac:dyDescent="0.3">
      <c r="B81" s="199" t="s">
        <v>276</v>
      </c>
      <c r="C81" s="186"/>
      <c r="D81" s="216"/>
      <c r="E81" s="217">
        <f>SUM(E72,E66,E60,E54, E78)</f>
        <v>11242.216</v>
      </c>
      <c r="F81" s="217">
        <f t="shared" ref="F81:I81" si="55">SUM(F72,F66,F60,F54, F78)</f>
        <v>15428.751999999999</v>
      </c>
      <c r="G81" s="217">
        <f t="shared" si="55"/>
        <v>19859.230000000003</v>
      </c>
      <c r="H81" s="217">
        <f t="shared" si="55"/>
        <v>24756.675000000003</v>
      </c>
      <c r="I81" s="217">
        <f t="shared" si="55"/>
        <v>29515.495999999999</v>
      </c>
      <c r="J81" s="218">
        <f>I81</f>
        <v>29515.495999999999</v>
      </c>
      <c r="K81" s="217">
        <f>SUM(K72,K66,K60,K54, K78)</f>
        <v>34980.438365889735</v>
      </c>
      <c r="L81" s="217">
        <f>SUM(L72,L66,L60,L54, L78)</f>
        <v>41289.249009050749</v>
      </c>
      <c r="M81" s="217">
        <f>SUM(M72,M66,M60,M54, M78)</f>
        <v>48735.280266008071</v>
      </c>
      <c r="N81" s="217">
        <f t="shared" ref="N81:O81" si="56">SUM(N72,N66,N60,N54, N78)</f>
        <v>57562.274015365278</v>
      </c>
      <c r="O81" s="217">
        <f t="shared" si="56"/>
        <v>68078.13298991615</v>
      </c>
      <c r="P81" s="217">
        <f>SUM(P72,P66,P60,P54, P78)</f>
        <v>80671.99597792828</v>
      </c>
      <c r="Q81" s="328">
        <f>AVERAGE(K81:P81)</f>
        <v>55219.56177069305</v>
      </c>
      <c r="R81" s="198"/>
      <c r="S81" s="401" t="s">
        <v>586</v>
      </c>
      <c r="T81" s="401"/>
      <c r="U81" s="401"/>
      <c r="V81" s="223">
        <f>($I$157/$D$157)^(1/6)-1</f>
        <v>0.1669794422657509</v>
      </c>
      <c r="X81" s="186"/>
      <c r="Y81" s="189"/>
      <c r="Z81" s="173"/>
      <c r="AA81" s="173"/>
      <c r="AB81" s="173"/>
      <c r="AC81" s="173"/>
      <c r="AD81" s="173"/>
      <c r="AE81" s="173"/>
      <c r="AF81" s="173"/>
      <c r="AG81" s="173"/>
    </row>
    <row r="82" spans="1:33" ht="15" thickTop="1" x14ac:dyDescent="0.25">
      <c r="B82" s="186"/>
      <c r="C82" s="186"/>
      <c r="D82" s="196"/>
      <c r="E82" s="203"/>
      <c r="F82" s="203"/>
      <c r="G82" s="203"/>
      <c r="H82" s="203"/>
      <c r="I82" s="173"/>
      <c r="J82" s="173"/>
      <c r="K82" s="173"/>
      <c r="L82" s="173"/>
      <c r="M82" s="173"/>
      <c r="N82" s="173"/>
      <c r="O82" s="173"/>
      <c r="P82" s="173"/>
      <c r="R82" s="198"/>
      <c r="S82" s="346" t="s">
        <v>323</v>
      </c>
      <c r="V82" s="341">
        <f>V80-V81</f>
        <v>-5.1356176292759903E-2</v>
      </c>
      <c r="X82" s="186"/>
      <c r="Y82" s="189"/>
      <c r="Z82" s="173"/>
      <c r="AA82" s="173"/>
      <c r="AB82" s="173"/>
      <c r="AC82" s="173"/>
      <c r="AD82" s="173"/>
      <c r="AE82" s="173"/>
      <c r="AF82" s="173"/>
      <c r="AG82" s="173"/>
    </row>
    <row r="83" spans="1:33" x14ac:dyDescent="0.25">
      <c r="B83" s="219" t="s">
        <v>114</v>
      </c>
      <c r="C83" s="186"/>
      <c r="D83" s="186"/>
      <c r="E83" s="186"/>
      <c r="F83" s="186"/>
      <c r="G83" s="186"/>
      <c r="H83" s="186"/>
      <c r="I83" s="186"/>
      <c r="J83" s="197"/>
      <c r="K83" s="180"/>
      <c r="L83" s="180"/>
      <c r="M83" s="180"/>
      <c r="N83" s="180"/>
      <c r="O83" s="180"/>
      <c r="P83" s="180"/>
      <c r="Q83" s="198"/>
      <c r="R83" s="198"/>
      <c r="S83" s="401" t="s">
        <v>335</v>
      </c>
      <c r="T83" s="401"/>
      <c r="U83" s="401"/>
      <c r="V83" s="223">
        <f>$P$157/$K$157-1</f>
        <v>0.92799266177615092</v>
      </c>
      <c r="X83" s="186"/>
      <c r="Y83" s="189"/>
      <c r="Z83" s="173"/>
      <c r="AA83" s="173"/>
      <c r="AB83" s="173"/>
      <c r="AC83" s="173"/>
      <c r="AD83" s="173"/>
      <c r="AE83" s="173"/>
      <c r="AF83" s="173"/>
      <c r="AG83" s="173"/>
    </row>
    <row r="84" spans="1:33" x14ac:dyDescent="0.25">
      <c r="B84" s="401" t="s">
        <v>229</v>
      </c>
      <c r="C84" s="401"/>
      <c r="H84" s="206"/>
      <c r="I84" s="206"/>
      <c r="J84" s="211">
        <f>J91-$D$5</f>
        <v>9.2276650503718999E-2</v>
      </c>
      <c r="K84" s="212">
        <f>J84-(J84-$Q84)/($Q$41-K$41)</f>
        <v>9.2276650503718999E-2</v>
      </c>
      <c r="L84" s="212">
        <f t="shared" ref="L84:O84" si="57">K84-(K84-$Q84)/($Q$41-L$41)</f>
        <v>9.2276650503718999E-2</v>
      </c>
      <c r="M84" s="212">
        <f t="shared" si="57"/>
        <v>9.2276650503718999E-2</v>
      </c>
      <c r="N84" s="212">
        <f t="shared" si="57"/>
        <v>9.2276650503718999E-2</v>
      </c>
      <c r="O84" s="212">
        <f t="shared" si="57"/>
        <v>9.2276650503718999E-2</v>
      </c>
      <c r="P84" s="212">
        <f>O84-(O84-$Q84)/($Q$41-P$41)</f>
        <v>9.2276650503718999E-2</v>
      </c>
      <c r="Q84" s="213">
        <f>J84/($D$14*2)</f>
        <v>9.2276650503718999E-2</v>
      </c>
      <c r="R84" s="220"/>
      <c r="S84" s="401" t="s">
        <v>336</v>
      </c>
      <c r="T84" s="401"/>
      <c r="U84" s="401"/>
      <c r="V84" s="223">
        <f>$I$157/$D$157-1</f>
        <v>1.525685279187817</v>
      </c>
      <c r="W84" s="220"/>
      <c r="X84" s="220"/>
      <c r="Y84" s="220"/>
      <c r="Z84" s="173"/>
      <c r="AA84" s="173"/>
      <c r="AB84" s="173"/>
      <c r="AC84" s="173"/>
      <c r="AD84" s="173"/>
      <c r="AE84" s="173"/>
      <c r="AF84" s="173"/>
      <c r="AG84" s="173"/>
    </row>
    <row r="85" spans="1:33" x14ac:dyDescent="0.25">
      <c r="B85" s="401" t="s">
        <v>230</v>
      </c>
      <c r="C85" s="401"/>
      <c r="H85" s="206"/>
      <c r="I85" s="206"/>
      <c r="J85" s="211">
        <f>J92-$D$5</f>
        <v>0.15576952197794558</v>
      </c>
      <c r="K85" s="212">
        <f t="shared" ref="K85:P85" si="58">J85-(J85-$Q85)/($Q$41-K$41)</f>
        <v>0.15576952197794558</v>
      </c>
      <c r="L85" s="212">
        <f t="shared" si="58"/>
        <v>0.15576952197794558</v>
      </c>
      <c r="M85" s="212">
        <f t="shared" si="58"/>
        <v>0.15576952197794558</v>
      </c>
      <c r="N85" s="212">
        <f t="shared" si="58"/>
        <v>0.15576952197794558</v>
      </c>
      <c r="O85" s="212">
        <f t="shared" si="58"/>
        <v>0.15576952197794558</v>
      </c>
      <c r="P85" s="212">
        <f t="shared" si="58"/>
        <v>0.15576952197794558</v>
      </c>
      <c r="Q85" s="213">
        <f t="shared" ref="Q85:Q88" si="59">J85/($D$14*2)</f>
        <v>0.15576952197794558</v>
      </c>
      <c r="R85" s="198"/>
      <c r="S85" s="346" t="s">
        <v>323</v>
      </c>
      <c r="V85" s="341">
        <f>V83-V84</f>
        <v>-0.59769261741166613</v>
      </c>
      <c r="X85" s="186"/>
      <c r="Y85" s="189"/>
      <c r="Z85" s="173"/>
      <c r="AA85" s="173"/>
      <c r="AB85" s="173"/>
      <c r="AC85" s="173"/>
      <c r="AD85" s="173"/>
      <c r="AE85" s="173"/>
      <c r="AF85" s="173"/>
      <c r="AG85" s="173"/>
    </row>
    <row r="86" spans="1:33" x14ac:dyDescent="0.25">
      <c r="A86" s="186"/>
      <c r="B86" s="401" t="s">
        <v>231</v>
      </c>
      <c r="C86" s="401"/>
      <c r="D86" s="186"/>
      <c r="E86" s="186"/>
      <c r="F86" s="186"/>
      <c r="G86" s="186"/>
      <c r="H86" s="206"/>
      <c r="I86" s="206"/>
      <c r="J86" s="211">
        <f>J93-$D$5</f>
        <v>0.10847360856634675</v>
      </c>
      <c r="K86" s="212">
        <f t="shared" ref="K86:P86" si="60">J86-(J86-$Q86)/($Q$41-K$41)</f>
        <v>0.10847360856634675</v>
      </c>
      <c r="L86" s="212">
        <f t="shared" si="60"/>
        <v>0.10847360856634675</v>
      </c>
      <c r="M86" s="212">
        <f t="shared" si="60"/>
        <v>0.10847360856634675</v>
      </c>
      <c r="N86" s="212">
        <f t="shared" si="60"/>
        <v>0.10847360856634675</v>
      </c>
      <c r="O86" s="212">
        <f t="shared" si="60"/>
        <v>0.10847360856634675</v>
      </c>
      <c r="P86" s="212">
        <f t="shared" si="60"/>
        <v>0.10847360856634675</v>
      </c>
      <c r="Q86" s="213">
        <f t="shared" si="59"/>
        <v>0.10847360856634675</v>
      </c>
      <c r="R86" s="198"/>
      <c r="X86" s="186"/>
      <c r="Y86" s="189"/>
      <c r="Z86" s="173"/>
      <c r="AA86" s="173"/>
      <c r="AB86" s="173"/>
      <c r="AC86" s="173"/>
      <c r="AD86" s="173"/>
      <c r="AE86" s="173"/>
      <c r="AF86" s="173"/>
      <c r="AG86" s="173"/>
    </row>
    <row r="87" spans="1:33" ht="18" x14ac:dyDescent="0.25">
      <c r="A87" s="186"/>
      <c r="B87" s="401" t="s">
        <v>232</v>
      </c>
      <c r="C87" s="401"/>
      <c r="D87" s="186"/>
      <c r="E87" s="186"/>
      <c r="F87" s="186"/>
      <c r="G87" s="186"/>
      <c r="H87" s="206"/>
      <c r="I87" s="206"/>
      <c r="J87" s="211">
        <f>J94-$D$5</f>
        <v>0.15681647968206094</v>
      </c>
      <c r="K87" s="212">
        <f t="shared" ref="K87:P88" si="61">J87-(J87-$Q87)/($Q$41-K$41)</f>
        <v>0.15681647968206094</v>
      </c>
      <c r="L87" s="212">
        <f t="shared" si="61"/>
        <v>0.15681647968206094</v>
      </c>
      <c r="M87" s="212">
        <f t="shared" si="61"/>
        <v>0.15681647968206094</v>
      </c>
      <c r="N87" s="212">
        <f t="shared" si="61"/>
        <v>0.15681647968206094</v>
      </c>
      <c r="O87" s="212">
        <f t="shared" si="61"/>
        <v>0.15681647968206094</v>
      </c>
      <c r="P87" s="212">
        <f t="shared" si="61"/>
        <v>0.15681647968206094</v>
      </c>
      <c r="Q87" s="213">
        <f t="shared" si="59"/>
        <v>0.15681647968206094</v>
      </c>
      <c r="R87" s="198"/>
      <c r="S87" s="402" t="s">
        <v>327</v>
      </c>
      <c r="T87" s="402"/>
      <c r="U87" s="402"/>
      <c r="V87" s="402"/>
      <c r="X87" s="186"/>
      <c r="Y87" s="189"/>
      <c r="Z87" s="173"/>
      <c r="AA87" s="173"/>
      <c r="AB87" s="173"/>
      <c r="AC87" s="173"/>
      <c r="AD87" s="173"/>
      <c r="AE87" s="173"/>
      <c r="AF87" s="173"/>
      <c r="AG87" s="173"/>
    </row>
    <row r="88" spans="1:33" x14ac:dyDescent="0.25">
      <c r="A88" s="186"/>
      <c r="B88" s="418" t="s">
        <v>322</v>
      </c>
      <c r="C88" s="418"/>
      <c r="D88" s="418"/>
      <c r="E88" s="215"/>
      <c r="F88" s="215"/>
      <c r="G88" s="215"/>
      <c r="H88" s="215"/>
      <c r="I88" s="221"/>
      <c r="J88" s="211">
        <f>J95-$D$5</f>
        <v>7.0000000000000007E-2</v>
      </c>
      <c r="K88" s="212">
        <f>J88-(J88-$Q88)/($Q$41-K$41)</f>
        <v>7.0000000000000007E-2</v>
      </c>
      <c r="L88" s="212">
        <f t="shared" si="61"/>
        <v>7.0000000000000007E-2</v>
      </c>
      <c r="M88" s="212">
        <f t="shared" si="61"/>
        <v>7.0000000000000007E-2</v>
      </c>
      <c r="N88" s="212">
        <f t="shared" si="61"/>
        <v>7.0000000000000007E-2</v>
      </c>
      <c r="O88" s="212">
        <f t="shared" si="61"/>
        <v>7.0000000000000007E-2</v>
      </c>
      <c r="P88" s="212">
        <f>O88-(O88-$Q88)/($Q$41-P$41)</f>
        <v>7.0000000000000007E-2</v>
      </c>
      <c r="Q88" s="213">
        <f t="shared" si="59"/>
        <v>7.0000000000000007E-2</v>
      </c>
      <c r="R88" s="198"/>
      <c r="S88" s="401" t="s">
        <v>585</v>
      </c>
      <c r="T88" s="401"/>
      <c r="U88" s="401"/>
      <c r="V88" s="223">
        <f>($P$183/$L$183)^(1/5)-1</f>
        <v>0.13188590553850021</v>
      </c>
      <c r="X88" s="186"/>
      <c r="Y88" s="189"/>
      <c r="Z88" s="173"/>
      <c r="AA88" s="173"/>
      <c r="AB88" s="173"/>
      <c r="AC88" s="173"/>
      <c r="AD88" s="173"/>
      <c r="AE88" s="173"/>
      <c r="AF88" s="173"/>
      <c r="AG88" s="173"/>
    </row>
    <row r="89" spans="1:33" x14ac:dyDescent="0.25">
      <c r="A89" s="173"/>
      <c r="B89" s="173"/>
      <c r="C89" s="173"/>
      <c r="D89" s="173"/>
      <c r="E89" s="173"/>
      <c r="F89" s="173"/>
      <c r="G89" s="173"/>
      <c r="H89" s="173"/>
      <c r="I89" s="173"/>
      <c r="J89" s="173"/>
      <c r="K89" s="173"/>
      <c r="L89" s="173"/>
      <c r="M89" s="173"/>
      <c r="N89" s="173"/>
      <c r="O89" s="173"/>
      <c r="P89" s="173"/>
      <c r="R89" s="198"/>
      <c r="S89" s="401" t="s">
        <v>586</v>
      </c>
      <c r="T89" s="401"/>
      <c r="U89" s="401"/>
      <c r="V89" s="223">
        <f>($E$183/$I$183)^(1/5)-1</f>
        <v>-0.11363701397837578</v>
      </c>
      <c r="X89" s="186"/>
      <c r="Y89" s="189"/>
      <c r="Z89" s="173"/>
      <c r="AA89" s="173"/>
      <c r="AB89" s="173"/>
      <c r="AC89" s="173"/>
      <c r="AD89" s="173"/>
      <c r="AE89" s="173"/>
      <c r="AF89" s="173"/>
      <c r="AG89" s="173"/>
    </row>
    <row r="90" spans="1:33" x14ac:dyDescent="0.25">
      <c r="A90" s="186"/>
      <c r="B90" s="219" t="s">
        <v>233</v>
      </c>
      <c r="C90" s="186"/>
      <c r="D90" s="186"/>
      <c r="E90" s="186"/>
      <c r="F90" s="186"/>
      <c r="G90" s="186"/>
      <c r="H90" s="186"/>
      <c r="I90" s="186"/>
      <c r="J90" s="222"/>
      <c r="K90" s="223"/>
      <c r="L90" s="223"/>
      <c r="M90" s="223"/>
      <c r="N90" s="223"/>
      <c r="O90" s="223"/>
      <c r="P90" s="223"/>
      <c r="Q90" s="224"/>
      <c r="R90" s="198"/>
      <c r="S90" s="276" t="s">
        <v>323</v>
      </c>
      <c r="V90" s="341">
        <f>V88-V89</f>
        <v>0.24552291951687599</v>
      </c>
      <c r="X90" s="186"/>
      <c r="Y90" s="189"/>
      <c r="Z90" s="173"/>
      <c r="AA90" s="173"/>
      <c r="AB90" s="173"/>
      <c r="AC90" s="173"/>
      <c r="AD90" s="173"/>
      <c r="AE90" s="173"/>
      <c r="AF90" s="173"/>
      <c r="AG90" s="173"/>
    </row>
    <row r="91" spans="1:33" x14ac:dyDescent="0.25">
      <c r="A91" s="186"/>
      <c r="B91" s="401" t="s">
        <v>229</v>
      </c>
      <c r="C91" s="401"/>
      <c r="D91" s="186"/>
      <c r="E91" s="186"/>
      <c r="F91" s="186"/>
      <c r="G91" s="186"/>
      <c r="J91" s="337">
        <f>$J$56-$D$5*2</f>
        <v>0.122276650503719</v>
      </c>
      <c r="K91" s="225">
        <f>J91-(J91-$Q91)/($Q$41-K$41)</f>
        <v>0.11208692962840908</v>
      </c>
      <c r="L91" s="225">
        <f t="shared" ref="L91:P91" si="62">K91-(K91-$Q91)/($Q$41-L$41)</f>
        <v>0.10189720875309916</v>
      </c>
      <c r="M91" s="225">
        <f t="shared" si="62"/>
        <v>9.1707487877789234E-2</v>
      </c>
      <c r="N91" s="225">
        <f t="shared" si="62"/>
        <v>8.1517767002479327E-2</v>
      </c>
      <c r="O91" s="225">
        <f t="shared" si="62"/>
        <v>7.132804612716942E-2</v>
      </c>
      <c r="P91" s="225">
        <f t="shared" si="62"/>
        <v>6.1138325251859499E-2</v>
      </c>
      <c r="Q91" s="213">
        <f>J91/2</f>
        <v>6.1138325251859499E-2</v>
      </c>
      <c r="R91" s="226"/>
      <c r="S91" s="401" t="s">
        <v>335</v>
      </c>
      <c r="T91" s="401"/>
      <c r="U91" s="401"/>
      <c r="V91" s="223">
        <f>$P$183/$K$183-1</f>
        <v>1.1295276748836307</v>
      </c>
      <c r="X91" s="186"/>
      <c r="Y91" s="189"/>
      <c r="Z91" s="173"/>
      <c r="AA91" s="173"/>
      <c r="AB91" s="173"/>
      <c r="AC91" s="173"/>
      <c r="AD91" s="173"/>
      <c r="AE91" s="173"/>
      <c r="AF91" s="173"/>
      <c r="AG91" s="173"/>
    </row>
    <row r="92" spans="1:33" x14ac:dyDescent="0.25">
      <c r="A92" s="186"/>
      <c r="B92" s="401" t="s">
        <v>230</v>
      </c>
      <c r="C92" s="401"/>
      <c r="D92" s="186"/>
      <c r="E92" s="186"/>
      <c r="F92" s="186"/>
      <c r="G92" s="186"/>
      <c r="J92" s="337">
        <f>$J$62/2-3%</f>
        <v>0.18576952197794558</v>
      </c>
      <c r="K92" s="225">
        <f t="shared" ref="K92:P92" si="63">J92-(J92-$Q92)/($Q$41-K$41)</f>
        <v>0.17160285531127892</v>
      </c>
      <c r="L92" s="225">
        <f t="shared" si="63"/>
        <v>0.15743618864461226</v>
      </c>
      <c r="M92" s="225">
        <f t="shared" si="63"/>
        <v>0.1432695219779456</v>
      </c>
      <c r="N92" s="225">
        <f t="shared" si="63"/>
        <v>0.12910285531127891</v>
      </c>
      <c r="O92" s="225">
        <f t="shared" si="63"/>
        <v>0.11493618864461225</v>
      </c>
      <c r="P92" s="225">
        <f t="shared" si="63"/>
        <v>0.10076952197794557</v>
      </c>
      <c r="Q92" s="213">
        <f>J92-8.5%</f>
        <v>0.10076952197794557</v>
      </c>
      <c r="R92" s="198"/>
      <c r="S92" s="401" t="s">
        <v>336</v>
      </c>
      <c r="T92" s="401"/>
      <c r="U92" s="401"/>
      <c r="V92" s="223">
        <f>$I$183/$E$183-1</f>
        <v>0.8278558395661213</v>
      </c>
      <c r="X92" s="186"/>
      <c r="Y92" s="189"/>
      <c r="Z92" s="173"/>
      <c r="AA92" s="173"/>
      <c r="AB92" s="173"/>
      <c r="AC92" s="173"/>
      <c r="AD92" s="173"/>
      <c r="AE92" s="173"/>
      <c r="AF92" s="173"/>
      <c r="AG92" s="173"/>
    </row>
    <row r="93" spans="1:33" x14ac:dyDescent="0.25">
      <c r="A93" s="186"/>
      <c r="B93" s="401" t="s">
        <v>231</v>
      </c>
      <c r="C93" s="401"/>
      <c r="D93" s="186"/>
      <c r="E93" s="186"/>
      <c r="F93" s="186"/>
      <c r="G93" s="186"/>
      <c r="J93" s="368">
        <f>$J$68-$D$5*2-2%</f>
        <v>0.13847360856634675</v>
      </c>
      <c r="K93" s="225">
        <f t="shared" ref="K93:P93" si="64">J93-(J93-$Q93)/($Q$41-K$41)</f>
        <v>0.16347578789082601</v>
      </c>
      <c r="L93" s="225">
        <f t="shared" si="64"/>
        <v>0.1884779672153053</v>
      </c>
      <c r="M93" s="225">
        <f t="shared" si="64"/>
        <v>0.21348014653978459</v>
      </c>
      <c r="N93" s="225">
        <f t="shared" si="64"/>
        <v>0.23848232586426385</v>
      </c>
      <c r="O93" s="225">
        <f t="shared" si="64"/>
        <v>0.26348450518874311</v>
      </c>
      <c r="P93" s="225">
        <f t="shared" si="64"/>
        <v>0.2884866845132224</v>
      </c>
      <c r="Q93" s="213">
        <f>J93/($D$14-2%)</f>
        <v>0.2884866845132224</v>
      </c>
      <c r="R93" s="198"/>
      <c r="S93" s="276" t="s">
        <v>323</v>
      </c>
      <c r="V93" s="341">
        <f>V91-V92</f>
        <v>0.30167183531750941</v>
      </c>
      <c r="X93" s="186"/>
      <c r="Y93" s="189"/>
      <c r="Z93" s="173"/>
      <c r="AA93" s="173"/>
      <c r="AB93" s="173"/>
      <c r="AC93" s="173"/>
      <c r="AD93" s="173"/>
      <c r="AE93" s="173"/>
      <c r="AF93" s="173"/>
      <c r="AG93" s="173"/>
    </row>
    <row r="94" spans="1:33" x14ac:dyDescent="0.25">
      <c r="A94" s="186"/>
      <c r="B94" s="401" t="s">
        <v>232</v>
      </c>
      <c r="C94" s="401"/>
      <c r="D94" s="186"/>
      <c r="E94" s="186"/>
      <c r="F94" s="186"/>
      <c r="G94" s="186"/>
      <c r="J94" s="337">
        <f>$J$74-$D$5*12</f>
        <v>0.18681647968206094</v>
      </c>
      <c r="K94" s="225">
        <f t="shared" ref="K94:P95" si="65">J94-(J94-$Q94)/($Q$41-K$41)</f>
        <v>0.2192234200350715</v>
      </c>
      <c r="L94" s="225">
        <f t="shared" si="65"/>
        <v>0.25163036038808206</v>
      </c>
      <c r="M94" s="225">
        <f t="shared" si="65"/>
        <v>0.28403730074109262</v>
      </c>
      <c r="N94" s="225">
        <f t="shared" si="65"/>
        <v>0.31644424109410318</v>
      </c>
      <c r="O94" s="225">
        <f t="shared" si="65"/>
        <v>0.3488511814471138</v>
      </c>
      <c r="P94" s="225">
        <f t="shared" si="65"/>
        <v>0.38125812180012436</v>
      </c>
      <c r="Q94" s="213">
        <f>J94/($D$14-1%)</f>
        <v>0.38125812180012436</v>
      </c>
      <c r="R94" s="198"/>
      <c r="X94" s="186"/>
      <c r="Y94" s="189"/>
      <c r="Z94" s="173"/>
      <c r="AA94" s="173"/>
      <c r="AB94" s="173"/>
      <c r="AC94" s="173"/>
      <c r="AD94" s="173"/>
      <c r="AE94" s="173"/>
      <c r="AF94" s="173"/>
      <c r="AG94" s="173"/>
    </row>
    <row r="95" spans="1:33" x14ac:dyDescent="0.25">
      <c r="A95" s="180"/>
      <c r="B95" s="418" t="s">
        <v>322</v>
      </c>
      <c r="C95" s="418"/>
      <c r="D95" s="418"/>
      <c r="E95" s="215"/>
      <c r="F95" s="215"/>
      <c r="G95" s="215"/>
      <c r="H95" s="215"/>
      <c r="I95" s="221"/>
      <c r="J95" s="337">
        <v>0.1</v>
      </c>
      <c r="K95" s="225">
        <f>J95-(J95-$Q95)/($Q$41-K$41)</f>
        <v>0.10833333333333334</v>
      </c>
      <c r="L95" s="225">
        <f t="shared" si="65"/>
        <v>0.11666666666666667</v>
      </c>
      <c r="M95" s="225">
        <f t="shared" si="65"/>
        <v>0.125</v>
      </c>
      <c r="N95" s="225">
        <f t="shared" si="65"/>
        <v>0.13333333333333333</v>
      </c>
      <c r="O95" s="225">
        <f t="shared" si="65"/>
        <v>0.14166666666666666</v>
      </c>
      <c r="P95" s="225">
        <f t="shared" si="65"/>
        <v>0.15</v>
      </c>
      <c r="Q95" s="293">
        <v>0.15</v>
      </c>
      <c r="R95" s="198"/>
      <c r="X95" s="186"/>
      <c r="Y95" s="189"/>
      <c r="Z95" s="173"/>
      <c r="AA95" s="173"/>
      <c r="AB95" s="173"/>
      <c r="AC95" s="173"/>
      <c r="AD95" s="173"/>
      <c r="AE95" s="173"/>
      <c r="AF95" s="173"/>
      <c r="AG95" s="173"/>
    </row>
    <row r="96" spans="1:33" x14ac:dyDescent="0.25">
      <c r="A96" s="180"/>
      <c r="B96" s="180"/>
      <c r="C96" s="180"/>
      <c r="D96" s="180"/>
      <c r="E96" s="180"/>
      <c r="F96" s="180"/>
      <c r="G96" s="180"/>
      <c r="H96" s="180"/>
      <c r="I96" s="180"/>
      <c r="J96" s="223"/>
      <c r="K96" s="223"/>
      <c r="L96" s="223"/>
      <c r="M96" s="223"/>
      <c r="N96" s="223"/>
      <c r="O96" s="223"/>
      <c r="P96" s="223"/>
      <c r="Q96" s="223"/>
      <c r="R96" s="198"/>
      <c r="S96" s="198"/>
      <c r="T96" s="198"/>
      <c r="U96" s="198"/>
      <c r="X96" s="186"/>
      <c r="Y96" s="189"/>
      <c r="Z96" s="173"/>
      <c r="AA96" s="173"/>
      <c r="AB96" s="173"/>
      <c r="AC96" s="173"/>
      <c r="AD96" s="173"/>
      <c r="AE96" s="173"/>
      <c r="AF96" s="173"/>
      <c r="AG96" s="173"/>
    </row>
    <row r="97" spans="1:33" x14ac:dyDescent="0.25">
      <c r="A97" s="186"/>
      <c r="B97" s="219" t="s">
        <v>116</v>
      </c>
      <c r="C97" s="186"/>
      <c r="D97" s="186"/>
      <c r="E97" s="186"/>
      <c r="F97" s="186"/>
      <c r="G97" s="186"/>
      <c r="H97" s="186"/>
      <c r="I97" s="186"/>
      <c r="J97" s="222"/>
      <c r="K97" s="223"/>
      <c r="L97" s="223"/>
      <c r="M97" s="223"/>
      <c r="N97" s="223"/>
      <c r="O97" s="223"/>
      <c r="P97" s="223"/>
      <c r="Q97" s="224"/>
      <c r="R97" s="198"/>
      <c r="X97" s="186"/>
      <c r="Y97" s="189"/>
      <c r="Z97" s="173"/>
      <c r="AA97" s="173"/>
      <c r="AB97" s="173"/>
      <c r="AC97" s="173"/>
      <c r="AD97" s="173"/>
      <c r="AE97" s="173"/>
      <c r="AF97" s="173"/>
      <c r="AG97" s="173"/>
    </row>
    <row r="98" spans="1:33" x14ac:dyDescent="0.25">
      <c r="A98" s="186"/>
      <c r="B98" s="401" t="s">
        <v>229</v>
      </c>
      <c r="C98" s="401"/>
      <c r="D98" s="186"/>
      <c r="E98" s="186"/>
      <c r="F98" s="186"/>
      <c r="G98" s="186"/>
      <c r="H98" s="206"/>
      <c r="I98" s="206"/>
      <c r="J98" s="211">
        <f>J91+$K$31*2</f>
        <v>0.182276650503719</v>
      </c>
      <c r="K98" s="225">
        <f>J98-(J98-$Q98)/($Q$41-K$41)</f>
        <v>0.182276650503719</v>
      </c>
      <c r="L98" s="225">
        <f t="shared" ref="L98:P98" si="66">K98-(K98-$Q98)/($Q$41-L$41)</f>
        <v>0.182276650503719</v>
      </c>
      <c r="M98" s="225">
        <f t="shared" si="66"/>
        <v>0.182276650503719</v>
      </c>
      <c r="N98" s="225">
        <f t="shared" si="66"/>
        <v>0.182276650503719</v>
      </c>
      <c r="O98" s="225">
        <f t="shared" si="66"/>
        <v>0.182276650503719</v>
      </c>
      <c r="P98" s="225">
        <f t="shared" si="66"/>
        <v>0.182276650503719</v>
      </c>
      <c r="Q98" s="213">
        <f>J98/($D$14*2)</f>
        <v>0.182276650503719</v>
      </c>
      <c r="R98" s="226"/>
      <c r="W98" s="226"/>
      <c r="X98" s="186"/>
      <c r="Y98" s="189"/>
      <c r="Z98" s="173"/>
      <c r="AA98" s="173"/>
      <c r="AB98" s="173"/>
      <c r="AC98" s="173"/>
      <c r="AD98" s="173"/>
      <c r="AE98" s="173"/>
      <c r="AF98" s="173"/>
      <c r="AG98" s="173"/>
    </row>
    <row r="99" spans="1:33" x14ac:dyDescent="0.25">
      <c r="A99" s="186"/>
      <c r="B99" s="401" t="s">
        <v>230</v>
      </c>
      <c r="C99" s="401"/>
      <c r="D99" s="196"/>
      <c r="E99" s="196"/>
      <c r="F99" s="196"/>
      <c r="G99" s="196"/>
      <c r="H99" s="206"/>
      <c r="I99" s="206"/>
      <c r="J99" s="211">
        <f>J92+$K$31*2</f>
        <v>0.24576952197794558</v>
      </c>
      <c r="K99" s="225">
        <f t="shared" ref="K99:P99" si="67">J99-(J99-$Q99)/($Q$41-K$41)</f>
        <v>0.24576952197794558</v>
      </c>
      <c r="L99" s="225">
        <f t="shared" si="67"/>
        <v>0.24576952197794558</v>
      </c>
      <c r="M99" s="225">
        <f t="shared" si="67"/>
        <v>0.24576952197794558</v>
      </c>
      <c r="N99" s="225">
        <f t="shared" si="67"/>
        <v>0.24576952197794558</v>
      </c>
      <c r="O99" s="225">
        <f t="shared" si="67"/>
        <v>0.24576952197794558</v>
      </c>
      <c r="P99" s="225">
        <f t="shared" si="67"/>
        <v>0.24576952197794558</v>
      </c>
      <c r="Q99" s="213">
        <f t="shared" ref="Q99:Q101" si="68">J99/($D$14*2)</f>
        <v>0.24576952197794558</v>
      </c>
      <c r="R99" s="198"/>
      <c r="X99" s="186"/>
      <c r="Y99" s="189"/>
      <c r="Z99" s="173"/>
      <c r="AA99" s="173"/>
      <c r="AB99" s="173"/>
      <c r="AC99" s="173"/>
      <c r="AD99" s="173"/>
      <c r="AE99" s="173"/>
      <c r="AF99" s="173"/>
      <c r="AG99" s="173"/>
    </row>
    <row r="100" spans="1:33" x14ac:dyDescent="0.25">
      <c r="A100" s="186"/>
      <c r="B100" s="401" t="s">
        <v>231</v>
      </c>
      <c r="C100" s="401"/>
      <c r="D100" s="196"/>
      <c r="E100" s="196"/>
      <c r="F100" s="196"/>
      <c r="G100" s="196"/>
      <c r="H100" s="206"/>
      <c r="I100" s="206"/>
      <c r="J100" s="211">
        <f>J93+$K$31*2</f>
        <v>0.19847360856634674</v>
      </c>
      <c r="K100" s="225">
        <f t="shared" ref="K100:P100" si="69">J100-(J100-$Q100)/($Q$41-K$41)</f>
        <v>0.19847360856634674</v>
      </c>
      <c r="L100" s="225">
        <f t="shared" si="69"/>
        <v>0.19847360856634674</v>
      </c>
      <c r="M100" s="225">
        <f t="shared" si="69"/>
        <v>0.19847360856634674</v>
      </c>
      <c r="N100" s="225">
        <f t="shared" si="69"/>
        <v>0.19847360856634674</v>
      </c>
      <c r="O100" s="225">
        <f t="shared" si="69"/>
        <v>0.19847360856634674</v>
      </c>
      <c r="P100" s="225">
        <f t="shared" si="69"/>
        <v>0.19847360856634674</v>
      </c>
      <c r="Q100" s="213">
        <f t="shared" si="68"/>
        <v>0.19847360856634674</v>
      </c>
      <c r="R100" s="198"/>
      <c r="X100" s="186"/>
      <c r="Y100" s="189"/>
      <c r="Z100" s="173"/>
      <c r="AA100" s="173"/>
      <c r="AB100" s="173"/>
      <c r="AC100" s="173"/>
      <c r="AD100" s="173"/>
      <c r="AE100" s="173"/>
      <c r="AF100" s="173"/>
      <c r="AG100" s="173"/>
    </row>
    <row r="101" spans="1:33" x14ac:dyDescent="0.25">
      <c r="A101" s="186"/>
      <c r="B101" s="401" t="s">
        <v>232</v>
      </c>
      <c r="C101" s="401"/>
      <c r="D101" s="196"/>
      <c r="E101" s="196"/>
      <c r="F101" s="196"/>
      <c r="G101" s="196"/>
      <c r="H101" s="206"/>
      <c r="I101" s="206"/>
      <c r="J101" s="211">
        <f>J94+$K$31*2</f>
        <v>0.24681647968206094</v>
      </c>
      <c r="K101" s="225">
        <f t="shared" ref="K101:P102" si="70">J101-(J101-$Q101)/($Q$41-K$41)</f>
        <v>0.24681647968206094</v>
      </c>
      <c r="L101" s="225">
        <f t="shared" si="70"/>
        <v>0.24681647968206094</v>
      </c>
      <c r="M101" s="225">
        <f t="shared" si="70"/>
        <v>0.24681647968206094</v>
      </c>
      <c r="N101" s="225">
        <f t="shared" si="70"/>
        <v>0.24681647968206094</v>
      </c>
      <c r="O101" s="225">
        <f t="shared" si="70"/>
        <v>0.24681647968206094</v>
      </c>
      <c r="P101" s="225">
        <f t="shared" si="70"/>
        <v>0.24681647968206094</v>
      </c>
      <c r="Q101" s="213">
        <f t="shared" si="68"/>
        <v>0.24681647968206094</v>
      </c>
      <c r="R101" s="198"/>
      <c r="X101" s="186"/>
      <c r="Y101" s="189"/>
      <c r="Z101" s="173"/>
      <c r="AA101" s="173"/>
      <c r="AB101" s="173"/>
      <c r="AC101" s="173"/>
      <c r="AD101" s="173"/>
      <c r="AE101" s="173"/>
      <c r="AF101" s="173"/>
      <c r="AG101" s="173"/>
    </row>
    <row r="102" spans="1:33" x14ac:dyDescent="0.25">
      <c r="B102" s="418" t="s">
        <v>322</v>
      </c>
      <c r="C102" s="418"/>
      <c r="D102" s="418"/>
      <c r="E102" s="215"/>
      <c r="F102" s="215"/>
      <c r="G102" s="215"/>
      <c r="H102" s="215"/>
      <c r="I102" s="221"/>
      <c r="J102" s="211">
        <f>J95+$K$31*2</f>
        <v>0.16</v>
      </c>
      <c r="K102" s="225">
        <f>J102-(J102-$Q102)/($Q$41-K$41)</f>
        <v>0.16666666666666669</v>
      </c>
      <c r="L102" s="225">
        <f t="shared" si="70"/>
        <v>0.17333333333333334</v>
      </c>
      <c r="M102" s="225">
        <f t="shared" si="70"/>
        <v>0.18</v>
      </c>
      <c r="N102" s="225">
        <f t="shared" si="70"/>
        <v>0.18666666666666668</v>
      </c>
      <c r="O102" s="225">
        <f t="shared" si="70"/>
        <v>0.19333333333333336</v>
      </c>
      <c r="P102" s="225">
        <f t="shared" si="70"/>
        <v>0.2</v>
      </c>
      <c r="Q102" s="293">
        <v>0.2</v>
      </c>
      <c r="R102" s="198"/>
      <c r="X102" s="186"/>
      <c r="Y102" s="189"/>
      <c r="Z102" s="173"/>
      <c r="AA102" s="173"/>
      <c r="AB102" s="173"/>
      <c r="AC102" s="173"/>
      <c r="AD102" s="173"/>
      <c r="AE102" s="173"/>
      <c r="AF102" s="173"/>
      <c r="AG102" s="173"/>
    </row>
    <row r="103" spans="1:33" x14ac:dyDescent="0.25">
      <c r="B103" s="186"/>
      <c r="C103" s="186"/>
      <c r="D103" s="196"/>
      <c r="E103" s="196"/>
      <c r="F103" s="196"/>
      <c r="G103" s="196"/>
      <c r="H103" s="206"/>
      <c r="I103" s="206"/>
      <c r="J103" s="222"/>
      <c r="K103" s="203"/>
      <c r="L103" s="203"/>
      <c r="M103" s="203"/>
      <c r="N103" s="203"/>
      <c r="O103" s="203"/>
      <c r="P103" s="203"/>
      <c r="Q103" s="224"/>
      <c r="R103" s="198"/>
      <c r="X103" s="186"/>
      <c r="Y103" s="189"/>
      <c r="Z103" s="173"/>
      <c r="AA103" s="173"/>
      <c r="AB103" s="173"/>
      <c r="AC103" s="173"/>
      <c r="AD103" s="173"/>
      <c r="AE103" s="173"/>
      <c r="AF103" s="173"/>
      <c r="AG103" s="173"/>
    </row>
    <row r="104" spans="1:33" ht="15" thickBot="1" x14ac:dyDescent="0.3">
      <c r="B104" s="199" t="s">
        <v>238</v>
      </c>
      <c r="C104" s="215"/>
      <c r="D104" s="227">
        <f>INDEX(Table168[COGS], MATCH(D41, Table168[Year], 0))</f>
        <v>6257</v>
      </c>
      <c r="E104" s="227">
        <f>INDEX(Table168[COGS], MATCH(E41, Table168[Year], 0))</f>
        <v>8033</v>
      </c>
      <c r="F104" s="227">
        <f>INDEX(Table168[COGS], MATCH(F41, Table168[Year], 0))</f>
        <v>9968</v>
      </c>
      <c r="G104" s="227">
        <f>INDEX(Table168[COGS], MATCH(G41, Table168[Year], 0))</f>
        <v>12440</v>
      </c>
      <c r="H104" s="227">
        <f>INDEX(Table168[COGS], MATCH(H41, Table168[Year], 0))</f>
        <v>15276</v>
      </c>
      <c r="I104" s="227">
        <f>INDEX(Table168[COGS], MATCH(I41, Table168[Year], 0))</f>
        <v>17333</v>
      </c>
      <c r="J104" s="228">
        <f>AVERAGE(D104:I104)</f>
        <v>11551.166666666666</v>
      </c>
      <c r="K104" s="229" cm="1">
        <f t="array" ref="K104">K$46*_xlfn.SWITCH($G$18, "Conservative", K107, "Base", K108, "Optimistic", K109)</f>
        <v>21030.492451398437</v>
      </c>
      <c r="L104" s="229" cm="1">
        <f t="array" ref="L104">L$46*_xlfn.SWITCH($G$18, "Conservative", L107, "Base", L108, "Optimistic", L109)</f>
        <v>24222.377879568397</v>
      </c>
      <c r="M104" s="229" cm="1">
        <f t="array" ref="M104">M$46*_xlfn.SWITCH($G$18, "Conservative", M107, "Base", M108, "Optimistic", M109)</f>
        <v>29479.269782070991</v>
      </c>
      <c r="N104" s="229" cm="1">
        <f t="array" ref="N104">N$46*_xlfn.SWITCH($G$18, "Conservative", N107, "Base", N108, "Optimistic", N109)</f>
        <v>34149.226256016227</v>
      </c>
      <c r="O104" s="229" cm="1">
        <f t="array" ref="O104">O$46*_xlfn.SWITCH($G$18, "Conservative", O107, "Base", O108, "Optimistic", O109)</f>
        <v>39596.184893133424</v>
      </c>
      <c r="P104" s="229" cm="1">
        <f t="array" ref="P104">P$46*_xlfn.SWITCH($G$18, "Conservative", P107, "Base", P108, "Optimistic", P109)</f>
        <v>45983.037707419113</v>
      </c>
      <c r="Q104" s="230">
        <f>P104</f>
        <v>45983.037707419113</v>
      </c>
      <c r="R104" s="198"/>
      <c r="S104" s="198"/>
      <c r="T104" s="198"/>
      <c r="U104" s="198"/>
      <c r="X104" s="186"/>
      <c r="Y104" s="189"/>
      <c r="Z104" s="173"/>
      <c r="AA104" s="173"/>
      <c r="AB104" s="173"/>
      <c r="AC104" s="173"/>
      <c r="AD104" s="173"/>
      <c r="AE104" s="173"/>
      <c r="AF104" s="173"/>
      <c r="AG104" s="173"/>
    </row>
    <row r="105" spans="1:33" ht="15" x14ac:dyDescent="0.25">
      <c r="B105" s="186" t="s">
        <v>252</v>
      </c>
      <c r="C105" s="186"/>
      <c r="D105" s="231">
        <f t="shared" ref="D105:I105" si="71">D104/D46</f>
        <v>0.70852678065904207</v>
      </c>
      <c r="E105" s="231">
        <f t="shared" si="71"/>
        <v>0.68700907992867011</v>
      </c>
      <c r="F105" s="231">
        <f t="shared" si="71"/>
        <v>0.63112574395340004</v>
      </c>
      <c r="G105" s="231">
        <f t="shared" si="71"/>
        <v>0.6171859495931733</v>
      </c>
      <c r="H105" s="231">
        <f t="shared" si="71"/>
        <v>0.61113778204512725</v>
      </c>
      <c r="I105" s="231">
        <f t="shared" si="71"/>
        <v>0.58364199609401302</v>
      </c>
      <c r="J105" s="232">
        <f>AVERAGE(D105:I105)</f>
        <v>0.63977122204557091</v>
      </c>
      <c r="K105" s="288">
        <f t="shared" ref="K105:P105" si="72">K104/K$46</f>
        <v>0.62814268503797577</v>
      </c>
      <c r="L105" s="288">
        <f t="shared" si="72"/>
        <v>0.61651414803038063</v>
      </c>
      <c r="M105" s="288">
        <f t="shared" si="72"/>
        <v>0.60488561102278549</v>
      </c>
      <c r="N105" s="288">
        <f t="shared" si="72"/>
        <v>0.59325707401519034</v>
      </c>
      <c r="O105" s="288">
        <f t="shared" si="72"/>
        <v>0.58162853700759509</v>
      </c>
      <c r="P105" s="288">
        <f t="shared" si="72"/>
        <v>0.56999999999999995</v>
      </c>
      <c r="Q105" s="289">
        <f>AVERAGE(K105:P105)</f>
        <v>0.59907134251898786</v>
      </c>
      <c r="R105" s="198"/>
      <c r="S105"/>
      <c r="T105"/>
      <c r="U105"/>
      <c r="V105"/>
      <c r="X105" s="186"/>
      <c r="Y105" s="189"/>
      <c r="Z105" s="173"/>
      <c r="AA105" s="173"/>
      <c r="AB105" s="173"/>
      <c r="AC105" s="173"/>
      <c r="AD105" s="173"/>
      <c r="AE105" s="173"/>
      <c r="AF105" s="173"/>
      <c r="AG105" s="173"/>
    </row>
    <row r="106" spans="1:33" ht="15" x14ac:dyDescent="0.25">
      <c r="B106" s="186" t="s">
        <v>267</v>
      </c>
      <c r="C106" s="186"/>
      <c r="D106" s="210"/>
      <c r="E106" s="210">
        <f>E104/D104-1</f>
        <v>0.28384209685152628</v>
      </c>
      <c r="F106" s="210">
        <f t="shared" ref="F106:I106" si="73">F104/E104-1</f>
        <v>0.24088136437196561</v>
      </c>
      <c r="G106" s="210">
        <f t="shared" si="73"/>
        <v>0.2479935794542536</v>
      </c>
      <c r="H106" s="210">
        <f t="shared" si="73"/>
        <v>0.22797427652733115</v>
      </c>
      <c r="I106" s="210">
        <f t="shared" si="73"/>
        <v>0.1346556690233045</v>
      </c>
      <c r="J106" s="211">
        <f>AVERAGE(E106:I106)</f>
        <v>0.22706939724567624</v>
      </c>
      <c r="K106" s="288">
        <f>K104/I104-1</f>
        <v>0.21332097452249688</v>
      </c>
      <c r="L106" s="288">
        <f>L104/K104-1</f>
        <v>0.15177416484879869</v>
      </c>
      <c r="M106" s="288">
        <f>M104/L104-1</f>
        <v>0.21702625269242404</v>
      </c>
      <c r="N106" s="288">
        <f>N104/M104-1</f>
        <v>0.15841493050772448</v>
      </c>
      <c r="O106" s="288">
        <f>O104/N104-1</f>
        <v>0.1595045989118884</v>
      </c>
      <c r="P106" s="288">
        <f>P104/O104-1</f>
        <v>0.16129970176478459</v>
      </c>
      <c r="Q106" s="289">
        <f>AVERAGE(K106:P106)</f>
        <v>0.17689010387468618</v>
      </c>
      <c r="R106" s="198"/>
      <c r="S106"/>
      <c r="T106"/>
      <c r="U106"/>
      <c r="V106"/>
      <c r="X106" s="186"/>
      <c r="Y106" s="189"/>
      <c r="Z106" s="173"/>
      <c r="AA106" s="173"/>
      <c r="AB106" s="173"/>
      <c r="AC106" s="173"/>
      <c r="AD106" s="173"/>
      <c r="AE106" s="173"/>
      <c r="AF106" s="173"/>
      <c r="AG106" s="173"/>
    </row>
    <row r="107" spans="1:33" ht="15" x14ac:dyDescent="0.25">
      <c r="B107" s="186" t="s">
        <v>114</v>
      </c>
      <c r="C107" s="186"/>
      <c r="D107" s="196"/>
      <c r="E107" s="196"/>
      <c r="F107" s="196"/>
      <c r="G107" s="196"/>
      <c r="H107" s="196"/>
      <c r="I107" s="196"/>
      <c r="J107" s="232">
        <f>J108</f>
        <v>0.63977122204557091</v>
      </c>
      <c r="K107" s="212">
        <f>J107-(J107-$Q107)/($Q$41-K$41)</f>
        <v>0.63147601837130907</v>
      </c>
      <c r="L107" s="212">
        <f t="shared" ref="L107:P107" si="74">K107-(K107-$Q107)/($Q$41-L$41)</f>
        <v>0.62318081469704723</v>
      </c>
      <c r="M107" s="212">
        <f t="shared" si="74"/>
        <v>0.61488561102278538</v>
      </c>
      <c r="N107" s="212">
        <f t="shared" si="74"/>
        <v>0.60659040734852354</v>
      </c>
      <c r="O107" s="212">
        <f t="shared" si="74"/>
        <v>0.5982952036742617</v>
      </c>
      <c r="P107" s="212">
        <f t="shared" si="74"/>
        <v>0.59</v>
      </c>
      <c r="Q107" s="293">
        <v>0.59</v>
      </c>
      <c r="R107" s="198"/>
      <c r="S107"/>
      <c r="T107"/>
      <c r="U107"/>
      <c r="V107"/>
      <c r="X107" s="186"/>
      <c r="Y107" s="189"/>
      <c r="Z107" s="173"/>
      <c r="AA107" s="173"/>
      <c r="AB107" s="173"/>
      <c r="AC107" s="173"/>
      <c r="AD107" s="173"/>
      <c r="AE107" s="173"/>
      <c r="AF107" s="173"/>
      <c r="AG107" s="173"/>
    </row>
    <row r="108" spans="1:33" ht="15" x14ac:dyDescent="0.25">
      <c r="B108" s="186" t="s">
        <v>115</v>
      </c>
      <c r="C108" s="186"/>
      <c r="D108" s="196"/>
      <c r="E108" s="196"/>
      <c r="F108" s="196"/>
      <c r="G108" s="196"/>
      <c r="J108" s="232">
        <f>J105</f>
        <v>0.63977122204557091</v>
      </c>
      <c r="K108" s="212">
        <f>J108-(J108-$Q108)/($Q$41-K$41)</f>
        <v>0.62814268503797577</v>
      </c>
      <c r="L108" s="212">
        <f t="shared" ref="L108:P108" si="75">K108-(K108-$Q108)/($Q$41-L$41)</f>
        <v>0.61651414803038063</v>
      </c>
      <c r="M108" s="212">
        <f t="shared" si="75"/>
        <v>0.60488561102278549</v>
      </c>
      <c r="N108" s="212">
        <f t="shared" si="75"/>
        <v>0.59325707401519034</v>
      </c>
      <c r="O108" s="212">
        <f t="shared" si="75"/>
        <v>0.58162853700759509</v>
      </c>
      <c r="P108" s="212">
        <f t="shared" si="75"/>
        <v>0.56999999999999995</v>
      </c>
      <c r="Q108" s="293">
        <v>0.56999999999999995</v>
      </c>
      <c r="R108" s="198"/>
      <c r="S108"/>
      <c r="T108"/>
      <c r="U108"/>
      <c r="V108"/>
      <c r="X108" s="186"/>
      <c r="Y108" s="189"/>
      <c r="Z108" s="173"/>
      <c r="AA108" s="173"/>
      <c r="AB108" s="173"/>
      <c r="AC108" s="173"/>
      <c r="AD108" s="173"/>
      <c r="AE108" s="173"/>
      <c r="AF108" s="173"/>
      <c r="AG108" s="173"/>
    </row>
    <row r="109" spans="1:33" ht="15" x14ac:dyDescent="0.25">
      <c r="B109" s="186" t="s">
        <v>116</v>
      </c>
      <c r="C109" s="186"/>
      <c r="D109" s="196"/>
      <c r="E109" s="196"/>
      <c r="F109" s="196"/>
      <c r="G109" s="196"/>
      <c r="H109" s="196"/>
      <c r="I109" s="196"/>
      <c r="J109" s="232">
        <f>J108</f>
        <v>0.63977122204557091</v>
      </c>
      <c r="K109" s="212">
        <f t="shared" ref="K109:P109" si="76">J109-(J109-$Q109)/($Q$41-K$41)</f>
        <v>0.62480935170464247</v>
      </c>
      <c r="L109" s="212">
        <f t="shared" si="76"/>
        <v>0.60984748136371403</v>
      </c>
      <c r="M109" s="212">
        <f t="shared" si="76"/>
        <v>0.59488561102278559</v>
      </c>
      <c r="N109" s="212">
        <f t="shared" si="76"/>
        <v>0.57992374068185704</v>
      </c>
      <c r="O109" s="212">
        <f t="shared" si="76"/>
        <v>0.56496187034092848</v>
      </c>
      <c r="P109" s="212">
        <f t="shared" si="76"/>
        <v>0.55000000000000004</v>
      </c>
      <c r="Q109" s="293">
        <v>0.55000000000000004</v>
      </c>
      <c r="R109" s="198"/>
      <c r="S109"/>
      <c r="T109"/>
      <c r="U109"/>
      <c r="V109"/>
      <c r="X109" s="186"/>
      <c r="Y109" s="189"/>
      <c r="Z109" s="173"/>
      <c r="AA109" s="173"/>
      <c r="AB109" s="173"/>
      <c r="AC109" s="173"/>
      <c r="AD109" s="173"/>
      <c r="AE109" s="173"/>
      <c r="AF109" s="173"/>
      <c r="AG109" s="173"/>
    </row>
    <row r="110" spans="1:33" s="345" customFormat="1" ht="15" x14ac:dyDescent="0.25">
      <c r="B110" s="219" t="s">
        <v>549</v>
      </c>
      <c r="C110" s="344"/>
      <c r="D110" s="196"/>
      <c r="E110" s="196"/>
      <c r="F110" s="196"/>
      <c r="G110" s="196"/>
      <c r="H110" s="196"/>
      <c r="I110" s="196"/>
      <c r="J110" s="232"/>
      <c r="K110" s="367">
        <f>INDEX(Table21[Forecast], MATCH(K41, Table21[Timeline], 0))</f>
        <v>19668.512344437113</v>
      </c>
      <c r="L110" s="367">
        <f>INDEX(Table21[Forecast], MATCH(L41, Table21[Timeline], 0))</f>
        <v>21983.529601261216</v>
      </c>
      <c r="M110" s="367">
        <f>INDEX(Table21[Forecast], MATCH(M41, Table21[Timeline], 0))</f>
        <v>24298.546858085323</v>
      </c>
      <c r="N110" s="367">
        <f>INDEX(Table21[Forecast], MATCH(N41, Table21[Timeline], 0))</f>
        <v>26613.564114909426</v>
      </c>
      <c r="O110" s="367">
        <f>INDEX(Table21[Forecast], MATCH(O41, Table21[Timeline], 0))</f>
        <v>28928.58137173353</v>
      </c>
      <c r="P110" s="367">
        <f>INDEX(Table21[Forecast], MATCH(P41, Table21[Timeline], 0))</f>
        <v>31243.598628557636</v>
      </c>
      <c r="Q110" s="363">
        <f>AVERAGE(K110:P110)</f>
        <v>25456.055486497371</v>
      </c>
      <c r="R110" s="198"/>
      <c r="S110"/>
      <c r="T110"/>
      <c r="U110"/>
      <c r="V110"/>
      <c r="W110" s="173"/>
      <c r="X110" s="344"/>
      <c r="Y110" s="189"/>
      <c r="Z110" s="173"/>
      <c r="AA110" s="173"/>
      <c r="AB110" s="173"/>
      <c r="AC110" s="173"/>
      <c r="AD110" s="173"/>
      <c r="AE110" s="173"/>
      <c r="AF110" s="173"/>
      <c r="AG110" s="173"/>
    </row>
    <row r="111" spans="1:33" s="345" customFormat="1" ht="15" x14ac:dyDescent="0.25">
      <c r="B111" s="219" t="s">
        <v>548</v>
      </c>
      <c r="C111" s="344"/>
      <c r="D111" s="196"/>
      <c r="E111" s="203"/>
      <c r="F111" s="203"/>
      <c r="G111" s="203"/>
      <c r="H111" s="203"/>
      <c r="I111" s="204"/>
      <c r="J111" s="175"/>
      <c r="K111" s="366">
        <f>K110-K104</f>
        <v>-1361.9801069613241</v>
      </c>
      <c r="L111" s="366">
        <f t="shared" ref="L111:P111" si="77">L110-L104</f>
        <v>-2238.8482783071813</v>
      </c>
      <c r="M111" s="366">
        <f t="shared" si="77"/>
        <v>-5180.7229239856679</v>
      </c>
      <c r="N111" s="366">
        <f t="shared" si="77"/>
        <v>-7535.6621411068008</v>
      </c>
      <c r="O111" s="366">
        <f t="shared" si="77"/>
        <v>-10667.603521399895</v>
      </c>
      <c r="P111" s="366">
        <f t="shared" si="77"/>
        <v>-14739.439078861476</v>
      </c>
      <c r="Q111" s="365">
        <f>Q104-Q110</f>
        <v>20526.982220921742</v>
      </c>
      <c r="R111" s="198"/>
      <c r="S111"/>
      <c r="T111"/>
      <c r="U111"/>
      <c r="V111"/>
      <c r="W111" s="173"/>
      <c r="X111" s="344"/>
      <c r="Y111" s="189"/>
      <c r="Z111" s="173"/>
      <c r="AA111" s="173"/>
      <c r="AB111" s="173"/>
      <c r="AC111" s="173"/>
      <c r="AD111" s="173"/>
      <c r="AE111" s="173"/>
      <c r="AF111" s="173"/>
      <c r="AG111" s="173"/>
    </row>
    <row r="112" spans="1:33" s="173" customFormat="1" ht="15" x14ac:dyDescent="0.25">
      <c r="S112"/>
      <c r="T112"/>
      <c r="U112"/>
      <c r="V112"/>
    </row>
    <row r="113" spans="2:33" ht="15.75" thickBot="1" x14ac:dyDescent="0.3">
      <c r="B113" s="199" t="s">
        <v>132</v>
      </c>
      <c r="C113" s="186"/>
      <c r="D113" s="233">
        <f>1097519/1000</f>
        <v>1097.519</v>
      </c>
      <c r="E113" s="233">
        <f>1436281/1000</f>
        <v>1436.2809999999999</v>
      </c>
      <c r="F113" s="233">
        <f>2369469/1000</f>
        <v>2369.4690000000001</v>
      </c>
      <c r="G113" s="233">
        <f>2652462/1000</f>
        <v>2652.462</v>
      </c>
      <c r="H113" s="233">
        <f>'Income Statement'!$J$12/1000</f>
        <v>2228.3620000000001</v>
      </c>
      <c r="I113" s="233">
        <f>'Income Statement'!$O$12/1000</f>
        <v>2545.1460000000002</v>
      </c>
      <c r="J113" s="234">
        <f>AVERAGE(D113:I113)</f>
        <v>2054.8731666666667</v>
      </c>
      <c r="K113" s="229" cm="1">
        <f t="array" ref="K113">K$46*_xlfn.SWITCH($G$19, "Conservative", K116, "Base", K117, "Optimistic", K118)</f>
        <v>3718.1212707170466</v>
      </c>
      <c r="L113" s="229" cm="1">
        <f t="array" ref="L113">L$46*_xlfn.SWITCH($G$19, "Conservative", L116, "Base", L117, "Optimistic", L118)</f>
        <v>4119.1961984458649</v>
      </c>
      <c r="M113" s="229" cm="1">
        <f t="array" ref="M113">M$46*_xlfn.SWITCH($G$19, "Conservative", M116, "Base", M117, "Optimistic", M118)</f>
        <v>4806.8642670132558</v>
      </c>
      <c r="N113" s="229" cm="1">
        <f t="array" ref="N113">N$46*_xlfn.SWITCH($G$19, "Conservative", N116, "Base", N117, "Optimistic", N118)</f>
        <v>5319.9869204301149</v>
      </c>
      <c r="O113" s="229" cm="1">
        <f t="array" ref="O113">O$46*_xlfn.SWITCH($G$19, "Conservative", O116, "Base", O117, "Optimistic", O118)</f>
        <v>5869.0640726155025</v>
      </c>
      <c r="P113" s="229" cm="1">
        <f t="array" ref="P113">P$46*_xlfn.SWITCH($G$19, "Conservative", P116, "Base", P117, "Optimistic", P118)</f>
        <v>6453.7596782342625</v>
      </c>
      <c r="Q113" s="235">
        <f>AVERAGE(K113:P113)</f>
        <v>5047.8320679093413</v>
      </c>
      <c r="R113" s="290"/>
      <c r="T113"/>
      <c r="U113"/>
      <c r="V113"/>
      <c r="X113" s="186"/>
      <c r="Y113" s="189"/>
      <c r="Z113" s="173"/>
      <c r="AA113" s="173"/>
      <c r="AB113" s="173"/>
      <c r="AC113" s="173"/>
      <c r="AD113" s="173"/>
      <c r="AE113" s="173"/>
      <c r="AF113" s="173"/>
      <c r="AG113" s="173"/>
    </row>
    <row r="114" spans="2:33" x14ac:dyDescent="0.25">
      <c r="B114" s="168" t="s">
        <v>252</v>
      </c>
      <c r="D114" s="223">
        <f t="shared" ref="D114:I114" si="78">D113/D$46</f>
        <v>0.12428026271090477</v>
      </c>
      <c r="E114" s="223">
        <f t="shared" si="78"/>
        <v>0.12283556433823356</v>
      </c>
      <c r="F114" s="223">
        <f t="shared" si="78"/>
        <v>0.15002336330251995</v>
      </c>
      <c r="G114" s="223">
        <f t="shared" si="78"/>
        <v>0.13159664615995237</v>
      </c>
      <c r="H114" s="223">
        <f t="shared" si="78"/>
        <v>8.9148743799007849E-2</v>
      </c>
      <c r="I114" s="223">
        <f t="shared" si="78"/>
        <v>8.5700922621051931E-2</v>
      </c>
      <c r="J114" s="247">
        <f>AVERAGE(D114:I114)</f>
        <v>0.11726425048861172</v>
      </c>
      <c r="K114" s="288">
        <f>K113/K$46</f>
        <v>0.1110535420738431</v>
      </c>
      <c r="L114" s="288">
        <f t="shared" ref="L114:P114" si="79">L113/L$46</f>
        <v>0.10484283365907449</v>
      </c>
      <c r="M114" s="288">
        <f t="shared" si="79"/>
        <v>9.8632125244305854E-2</v>
      </c>
      <c r="N114" s="288">
        <f t="shared" si="79"/>
        <v>9.2421416829537251E-2</v>
      </c>
      <c r="O114" s="288">
        <f t="shared" si="79"/>
        <v>8.6210708414768633E-2</v>
      </c>
      <c r="P114" s="288">
        <f t="shared" si="79"/>
        <v>0.08</v>
      </c>
      <c r="Q114" s="289">
        <f>AVERAGE(K114:P114)</f>
        <v>9.5526771036921546E-2</v>
      </c>
      <c r="R114" s="198"/>
      <c r="X114" s="186"/>
      <c r="Y114" s="189"/>
      <c r="Z114" s="173"/>
      <c r="AA114" s="173"/>
      <c r="AB114" s="173"/>
      <c r="AC114" s="173"/>
      <c r="AD114" s="173"/>
      <c r="AE114" s="173"/>
      <c r="AF114" s="173"/>
      <c r="AG114" s="173"/>
    </row>
    <row r="115" spans="2:33" ht="15" x14ac:dyDescent="0.25">
      <c r="B115" s="168" t="s">
        <v>267</v>
      </c>
      <c r="D115" s="223"/>
      <c r="E115" s="223"/>
      <c r="F115" s="223">
        <f t="shared" ref="F115:H115" si="80">F113/E113-1</f>
        <v>0.64972522786279296</v>
      </c>
      <c r="G115" s="223">
        <f t="shared" si="80"/>
        <v>0.11943308817291975</v>
      </c>
      <c r="H115" s="223">
        <f t="shared" si="80"/>
        <v>-0.15988918974145527</v>
      </c>
      <c r="I115" s="223">
        <f>I113/H113-1</f>
        <v>0.14216002606398792</v>
      </c>
      <c r="J115" s="247">
        <f>AVERAGE(D115:I115)</f>
        <v>0.18785728808956134</v>
      </c>
      <c r="K115" s="288">
        <f>I113/J113-1</f>
        <v>0.23859031364385097</v>
      </c>
      <c r="L115" s="288">
        <f>L113/K113-1</f>
        <v>0.10787031904730493</v>
      </c>
      <c r="M115" s="288">
        <f t="shared" ref="M115:P115" si="81">M113/L113-1</f>
        <v>0.16694229539900096</v>
      </c>
      <c r="N115" s="288">
        <f t="shared" si="81"/>
        <v>0.10674789736380208</v>
      </c>
      <c r="O115" s="288">
        <f t="shared" si="81"/>
        <v>0.10321024476146556</v>
      </c>
      <c r="P115" s="288">
        <f t="shared" si="81"/>
        <v>9.9623312743661208E-2</v>
      </c>
      <c r="Q115" s="289">
        <f>AVERAGE(K115:P115)</f>
        <v>0.13716406382651428</v>
      </c>
      <c r="R115" s="198"/>
      <c r="S115"/>
      <c r="X115" s="186"/>
      <c r="Y115" s="189"/>
      <c r="Z115" s="173"/>
      <c r="AA115" s="173"/>
      <c r="AB115" s="173"/>
      <c r="AC115" s="173"/>
      <c r="AD115" s="173"/>
      <c r="AE115" s="173"/>
      <c r="AF115" s="173"/>
      <c r="AG115" s="173"/>
    </row>
    <row r="116" spans="2:33" x14ac:dyDescent="0.25">
      <c r="B116" s="186" t="s">
        <v>114</v>
      </c>
      <c r="C116" s="186"/>
      <c r="D116" s="196"/>
      <c r="E116" s="196"/>
      <c r="F116" s="196"/>
      <c r="G116" s="196"/>
      <c r="H116" s="196"/>
      <c r="I116" s="231"/>
      <c r="J116" s="232">
        <f>J114</f>
        <v>0.11726425048861172</v>
      </c>
      <c r="K116" s="212">
        <f t="shared" ref="K116:P118" si="82">J116-(J116-$Q116)/($Q$41-K$41)</f>
        <v>0.11772020874050977</v>
      </c>
      <c r="L116" s="212">
        <f t="shared" si="82"/>
        <v>0.11817616699240782</v>
      </c>
      <c r="M116" s="212">
        <f t="shared" si="82"/>
        <v>0.11863212524430586</v>
      </c>
      <c r="N116" s="212">
        <f t="shared" si="82"/>
        <v>0.11908808349620391</v>
      </c>
      <c r="O116" s="212">
        <f t="shared" si="82"/>
        <v>0.11954404174810196</v>
      </c>
      <c r="P116" s="212">
        <f t="shared" si="82"/>
        <v>0.12</v>
      </c>
      <c r="Q116" s="293">
        <v>0.12</v>
      </c>
      <c r="R116" s="198"/>
      <c r="X116" s="186"/>
      <c r="Y116" s="189"/>
      <c r="Z116" s="173"/>
      <c r="AA116" s="173"/>
      <c r="AB116" s="173"/>
      <c r="AC116" s="173"/>
      <c r="AD116" s="173"/>
      <c r="AE116" s="173"/>
      <c r="AF116" s="173"/>
      <c r="AG116" s="173"/>
    </row>
    <row r="117" spans="2:33" x14ac:dyDescent="0.25">
      <c r="B117" s="186" t="s">
        <v>115</v>
      </c>
      <c r="C117" s="186"/>
      <c r="D117" s="196"/>
      <c r="E117" s="196"/>
      <c r="F117" s="196"/>
      <c r="G117" s="196"/>
      <c r="J117" s="232">
        <f>J114</f>
        <v>0.11726425048861172</v>
      </c>
      <c r="K117" s="212">
        <f t="shared" si="82"/>
        <v>0.11438687540717643</v>
      </c>
      <c r="L117" s="212">
        <f t="shared" si="82"/>
        <v>0.11150950032574114</v>
      </c>
      <c r="M117" s="212">
        <f t="shared" si="82"/>
        <v>0.10863212524430585</v>
      </c>
      <c r="N117" s="212">
        <f t="shared" si="82"/>
        <v>0.10575475016287057</v>
      </c>
      <c r="O117" s="212">
        <f t="shared" si="82"/>
        <v>0.1028773750814353</v>
      </c>
      <c r="P117" s="212">
        <f t="shared" si="82"/>
        <v>0.1</v>
      </c>
      <c r="Q117" s="293">
        <v>0.1</v>
      </c>
      <c r="R117" s="198"/>
      <c r="X117" s="186"/>
      <c r="Y117" s="189"/>
      <c r="Z117" s="173"/>
      <c r="AA117" s="173"/>
      <c r="AB117" s="173"/>
      <c r="AC117" s="173"/>
      <c r="AD117" s="173"/>
      <c r="AE117" s="173"/>
      <c r="AF117" s="173"/>
      <c r="AG117" s="173"/>
    </row>
    <row r="118" spans="2:33" x14ac:dyDescent="0.25">
      <c r="B118" s="186" t="s">
        <v>116</v>
      </c>
      <c r="C118" s="186"/>
      <c r="D118" s="196"/>
      <c r="E118" s="196"/>
      <c r="F118" s="196"/>
      <c r="G118" s="196"/>
      <c r="H118" s="196"/>
      <c r="I118" s="196"/>
      <c r="J118" s="232">
        <f>J114</f>
        <v>0.11726425048861172</v>
      </c>
      <c r="K118" s="212">
        <f t="shared" si="82"/>
        <v>0.1110535420738431</v>
      </c>
      <c r="L118" s="212">
        <f t="shared" si="82"/>
        <v>0.10484283365907449</v>
      </c>
      <c r="M118" s="212">
        <f t="shared" si="82"/>
        <v>9.8632125244305868E-2</v>
      </c>
      <c r="N118" s="212">
        <f t="shared" si="82"/>
        <v>9.2421416829537251E-2</v>
      </c>
      <c r="O118" s="212">
        <f t="shared" si="82"/>
        <v>8.6210708414768633E-2</v>
      </c>
      <c r="P118" s="212">
        <f t="shared" si="82"/>
        <v>0.08</v>
      </c>
      <c r="Q118" s="293">
        <v>0.08</v>
      </c>
      <c r="R118" s="198"/>
      <c r="X118" s="186"/>
      <c r="Y118" s="189"/>
      <c r="Z118" s="173"/>
      <c r="AA118" s="173"/>
      <c r="AB118" s="173"/>
      <c r="AC118" s="173"/>
      <c r="AD118" s="173"/>
      <c r="AE118" s="173"/>
      <c r="AF118" s="173"/>
      <c r="AG118" s="173"/>
    </row>
    <row r="119" spans="2:33" s="345" customFormat="1" ht="15" x14ac:dyDescent="0.25">
      <c r="B119" s="219" t="s">
        <v>549</v>
      </c>
      <c r="C119" s="344"/>
      <c r="D119" s="196"/>
      <c r="E119" s="196"/>
      <c r="F119" s="196"/>
      <c r="G119" s="196"/>
      <c r="H119" s="196"/>
      <c r="I119" s="196"/>
      <c r="J119" s="232"/>
      <c r="K119" s="367">
        <f>INDEX(Table25[Forecast], MATCH(K41,Table25[Timeline], 0))</f>
        <v>2801.935138679255</v>
      </c>
      <c r="L119" s="367">
        <f>INDEX(Table25[Forecast], MATCH(L41,Table25[Timeline], 0))</f>
        <v>3058.0738082872122</v>
      </c>
      <c r="M119" s="367">
        <f>INDEX(Table25[Forecast], MATCH(M41,Table25[Timeline], 0))</f>
        <v>3314.2124778951688</v>
      </c>
      <c r="N119" s="367">
        <f>INDEX(Table25[Forecast], MATCH(N41,Table25[Timeline], 0))</f>
        <v>3570.3511475031255</v>
      </c>
      <c r="O119" s="367">
        <f>INDEX(Table25[Forecast], MATCH(O41,Table25[Timeline], 0))</f>
        <v>3826.4898171110822</v>
      </c>
      <c r="P119" s="367">
        <f>INDEX(Table25[Forecast], MATCH(P41,Table25[Timeline], 0))</f>
        <v>4082.6284867190388</v>
      </c>
      <c r="Q119" s="363">
        <f>AVERAGE(K119:P119)</f>
        <v>3442.2818126991478</v>
      </c>
      <c r="R119" s="198"/>
      <c r="S119"/>
      <c r="T119"/>
      <c r="U119"/>
      <c r="V119"/>
      <c r="W119" s="173"/>
      <c r="X119" s="344"/>
      <c r="Y119" s="189"/>
      <c r="Z119" s="173"/>
      <c r="AA119" s="173"/>
      <c r="AB119" s="173"/>
      <c r="AC119" s="173"/>
      <c r="AD119" s="173"/>
      <c r="AE119" s="173"/>
      <c r="AF119" s="173"/>
      <c r="AG119" s="173"/>
    </row>
    <row r="120" spans="2:33" s="345" customFormat="1" ht="15" x14ac:dyDescent="0.25">
      <c r="B120" s="219" t="s">
        <v>548</v>
      </c>
      <c r="C120" s="344"/>
      <c r="D120" s="196"/>
      <c r="E120" s="203"/>
      <c r="F120" s="203"/>
      <c r="G120" s="203"/>
      <c r="H120" s="203"/>
      <c r="I120" s="204"/>
      <c r="J120" s="175"/>
      <c r="K120" s="366">
        <f>K119-K113</f>
        <v>-916.18613203779159</v>
      </c>
      <c r="L120" s="366">
        <f t="shared" ref="L120" si="83">L119-L113</f>
        <v>-1061.1223901586527</v>
      </c>
      <c r="M120" s="366">
        <f t="shared" ref="M120" si="84">M119-M113</f>
        <v>-1492.651789118087</v>
      </c>
      <c r="N120" s="366">
        <f t="shared" ref="N120" si="85">N119-N113</f>
        <v>-1749.6357729269894</v>
      </c>
      <c r="O120" s="366">
        <f t="shared" ref="O120" si="86">O119-O113</f>
        <v>-2042.5742555044203</v>
      </c>
      <c r="P120" s="366">
        <f t="shared" ref="P120" si="87">P119-P113</f>
        <v>-2371.1311915152237</v>
      </c>
      <c r="Q120" s="365">
        <f>Q113-Q119</f>
        <v>1605.5502552101934</v>
      </c>
      <c r="R120" s="198"/>
      <c r="S120"/>
      <c r="T120"/>
      <c r="U120"/>
      <c r="V120"/>
      <c r="W120" s="173"/>
      <c r="X120" s="344"/>
      <c r="Y120" s="189"/>
      <c r="Z120" s="173"/>
      <c r="AA120" s="173"/>
      <c r="AB120" s="173"/>
      <c r="AC120" s="173"/>
      <c r="AD120" s="173"/>
      <c r="AE120" s="173"/>
      <c r="AF120" s="173"/>
      <c r="AG120" s="173"/>
    </row>
    <row r="121" spans="2:33" x14ac:dyDescent="0.25">
      <c r="B121" s="199"/>
      <c r="C121" s="186"/>
      <c r="D121" s="196"/>
      <c r="E121" s="196"/>
      <c r="F121" s="196"/>
      <c r="G121" s="196"/>
      <c r="H121" s="215"/>
      <c r="I121" s="215"/>
      <c r="J121" s="173"/>
      <c r="K121" s="173"/>
      <c r="L121" s="173"/>
      <c r="M121" s="173"/>
      <c r="N121" s="173"/>
      <c r="O121" s="173"/>
      <c r="P121" s="173"/>
      <c r="R121" s="198"/>
      <c r="X121" s="186"/>
      <c r="Y121" s="189"/>
      <c r="Z121" s="173"/>
      <c r="AA121" s="173"/>
      <c r="AB121" s="173"/>
      <c r="AC121" s="173"/>
      <c r="AD121" s="173"/>
      <c r="AE121" s="173"/>
      <c r="AF121" s="173"/>
      <c r="AG121" s="173"/>
    </row>
    <row r="122" spans="2:33" ht="15" thickBot="1" x14ac:dyDescent="0.3">
      <c r="B122" s="420" t="s">
        <v>133</v>
      </c>
      <c r="C122" s="420"/>
      <c r="D122" s="233">
        <f>780232/1000</f>
        <v>780.23199999999997</v>
      </c>
      <c r="E122" s="233">
        <f>953710/1000</f>
        <v>953.71</v>
      </c>
      <c r="F122" s="233">
        <f>1221814/1000</f>
        <v>1221.8140000000001</v>
      </c>
      <c r="G122" s="233">
        <v>1545</v>
      </c>
      <c r="H122" s="237">
        <v>1830</v>
      </c>
      <c r="I122" s="237">
        <v>2274</v>
      </c>
      <c r="J122" s="238">
        <f>AVERAGE(D122:I122)</f>
        <v>1434.1260000000002</v>
      </c>
      <c r="K122" s="229" cm="1">
        <f t="array" ref="K122">K$46*_xlfn.SWITCH($G$20, "Conservative", K125, "Base", K126, "Optimistic", K127,K126)</f>
        <v>2677.0864657342618</v>
      </c>
      <c r="L122" s="229" cm="1">
        <f t="array" ref="L122">L$46*_xlfn.SWITCH($G$20, "Conservative", L125, "Base", L126, "Optimistic", L127,L126)</f>
        <v>3181.1631021960643</v>
      </c>
      <c r="M122" s="229" cm="1">
        <f t="array" ref="M122">M$46*_xlfn.SWITCH($G$20, "Conservative", M125, "Base", M126, "Optimistic", M127,M126)</f>
        <v>3995.115137533186</v>
      </c>
      <c r="N122" s="229" cm="1">
        <f t="array" ref="N122">N$46*_xlfn.SWITCH($G$20, "Conservative", N125, "Base", N126, "Optimistic", N127,N126)</f>
        <v>4776.7412920217621</v>
      </c>
      <c r="O122" s="229" cm="1">
        <f t="array" ref="O122">O$46*_xlfn.SWITCH($G$20, "Conservative", O125, "Base", O126, "Optimistic", O127,O126)</f>
        <v>5718.0147290451587</v>
      </c>
      <c r="P122" s="229" cm="1">
        <f t="array" ref="P122">P$46*_xlfn.SWITCH($G$20, "Conservative", P125, "Base", P126, "Optimistic", P127,P126)</f>
        <v>6857.1196581239046</v>
      </c>
      <c r="Q122" s="235">
        <f>AVERAGE(K122:P122)</f>
        <v>4534.2067307757234</v>
      </c>
      <c r="X122" s="186"/>
      <c r="Y122" s="189"/>
      <c r="Z122" s="173"/>
      <c r="AA122" s="173"/>
      <c r="AB122" s="173"/>
      <c r="AC122" s="173"/>
      <c r="AD122" s="173"/>
      <c r="AE122" s="173"/>
      <c r="AF122" s="173"/>
      <c r="AG122" s="173"/>
    </row>
    <row r="123" spans="2:33" x14ac:dyDescent="0.25">
      <c r="B123" s="186" t="s">
        <v>252</v>
      </c>
      <c r="C123" s="186"/>
      <c r="D123" s="236">
        <f>D122/D$46</f>
        <v>8.8351489072585207E-2</v>
      </c>
      <c r="E123" s="236">
        <f>E122/E$46</f>
        <v>8.1564475241973355E-2</v>
      </c>
      <c r="F123" s="236">
        <f>F122/F$46</f>
        <v>7.7359376978599473E-2</v>
      </c>
      <c r="G123" s="236">
        <f t="shared" ref="G123:H123" si="88">G122/G$46</f>
        <v>7.6652113514586229E-2</v>
      </c>
      <c r="H123" s="236">
        <f t="shared" si="88"/>
        <v>7.3211713874219875E-2</v>
      </c>
      <c r="I123" s="236">
        <f>I122/I$46</f>
        <v>7.657081284935012E-2</v>
      </c>
      <c r="J123" s="232">
        <f>AVERAGE(D123:I123)</f>
        <v>7.8951663588552379E-2</v>
      </c>
      <c r="K123" s="288">
        <f>K122/K$46</f>
        <v>7.9959719657126976E-2</v>
      </c>
      <c r="L123" s="288">
        <f t="shared" ref="L123:P123" si="89">L122/L$46</f>
        <v>8.0967775725701588E-2</v>
      </c>
      <c r="M123" s="288">
        <f t="shared" si="89"/>
        <v>8.1975831794276199E-2</v>
      </c>
      <c r="N123" s="288">
        <f t="shared" si="89"/>
        <v>8.2983887862850797E-2</v>
      </c>
      <c r="O123" s="288">
        <f t="shared" si="89"/>
        <v>8.3991943931425395E-2</v>
      </c>
      <c r="P123" s="288">
        <f t="shared" si="89"/>
        <v>8.5000000000000006E-2</v>
      </c>
      <c r="Q123" s="289">
        <f>AVERAGE(K123:P123)</f>
        <v>8.2479859828563498E-2</v>
      </c>
      <c r="R123" s="198"/>
      <c r="X123" s="186"/>
      <c r="Y123" s="189"/>
      <c r="Z123" s="173"/>
      <c r="AA123" s="173"/>
      <c r="AB123" s="173"/>
      <c r="AC123" s="173"/>
      <c r="AD123" s="173"/>
      <c r="AE123" s="173"/>
      <c r="AF123" s="173"/>
      <c r="AG123" s="173"/>
    </row>
    <row r="124" spans="2:33" x14ac:dyDescent="0.25">
      <c r="B124" s="168" t="s">
        <v>267</v>
      </c>
      <c r="D124" s="223"/>
      <c r="E124" s="223">
        <f>E122/D122-1</f>
        <v>0.22234155994627258</v>
      </c>
      <c r="F124" s="223">
        <f t="shared" ref="F124:H124" si="90">F122/E122-1</f>
        <v>0.28111690136414635</v>
      </c>
      <c r="G124" s="223">
        <f t="shared" si="90"/>
        <v>0.26451325651858615</v>
      </c>
      <c r="H124" s="223">
        <f t="shared" si="90"/>
        <v>0.18446601941747565</v>
      </c>
      <c r="I124" s="223">
        <f>I122/H122-1</f>
        <v>0.24262295081967222</v>
      </c>
      <c r="J124" s="247">
        <f>AVERAGE(D124:I124)</f>
        <v>0.23901213761323059</v>
      </c>
      <c r="K124" s="288">
        <f>K122/I122-1</f>
        <v>0.17725878000627171</v>
      </c>
      <c r="L124" s="288">
        <f>L122/K122-1</f>
        <v>0.18829299797141452</v>
      </c>
      <c r="M124" s="288">
        <f t="shared" ref="M124:P124" si="91">M122/L122-1</f>
        <v>0.25586617510281795</v>
      </c>
      <c r="N124" s="288">
        <f t="shared" si="91"/>
        <v>0.19564546391801785</v>
      </c>
      <c r="O124" s="288">
        <f t="shared" si="91"/>
        <v>0.19705346793545964</v>
      </c>
      <c r="P124" s="288">
        <f t="shared" si="91"/>
        <v>0.19921336041555859</v>
      </c>
      <c r="Q124" s="289">
        <f>AVERAGE(K124:P124)</f>
        <v>0.20222170755825672</v>
      </c>
      <c r="R124" s="198"/>
      <c r="S124" s="198"/>
      <c r="T124" s="198"/>
      <c r="U124" s="198"/>
      <c r="X124" s="186"/>
      <c r="Y124" s="189"/>
      <c r="Z124" s="173"/>
      <c r="AA124" s="173"/>
      <c r="AB124" s="173"/>
      <c r="AC124" s="173"/>
      <c r="AD124" s="173"/>
      <c r="AE124" s="173"/>
      <c r="AF124" s="173"/>
      <c r="AG124" s="173"/>
    </row>
    <row r="125" spans="2:33" x14ac:dyDescent="0.25">
      <c r="B125" s="186" t="s">
        <v>114</v>
      </c>
      <c r="C125" s="186"/>
      <c r="D125" s="196"/>
      <c r="E125" s="196"/>
      <c r="F125" s="196"/>
      <c r="G125" s="196"/>
      <c r="H125" s="196"/>
      <c r="I125" s="231"/>
      <c r="J125" s="232">
        <f>J123</f>
        <v>7.8951663588552379E-2</v>
      </c>
      <c r="K125" s="212">
        <f t="shared" ref="K125:P127" si="92">J125-(J125-$Q125)/($Q$41-K$41)</f>
        <v>8.1626386323793654E-2</v>
      </c>
      <c r="L125" s="212">
        <f t="shared" si="92"/>
        <v>8.4301109059034929E-2</v>
      </c>
      <c r="M125" s="212">
        <f t="shared" si="92"/>
        <v>8.6975831794276204E-2</v>
      </c>
      <c r="N125" s="212">
        <f t="shared" si="92"/>
        <v>8.9650554529517465E-2</v>
      </c>
      <c r="O125" s="212">
        <f t="shared" si="92"/>
        <v>9.2325277264758726E-2</v>
      </c>
      <c r="P125" s="212">
        <f t="shared" si="92"/>
        <v>9.5000000000000001E-2</v>
      </c>
      <c r="Q125" s="293">
        <v>9.5000000000000001E-2</v>
      </c>
      <c r="R125" s="198"/>
      <c r="S125" s="198"/>
      <c r="T125" s="198"/>
      <c r="U125" s="198"/>
      <c r="X125" s="186"/>
      <c r="Y125" s="189"/>
      <c r="Z125" s="173"/>
      <c r="AA125" s="173"/>
      <c r="AB125" s="173"/>
      <c r="AC125" s="173"/>
      <c r="AD125" s="173"/>
      <c r="AE125" s="173"/>
      <c r="AF125" s="173"/>
      <c r="AG125" s="173"/>
    </row>
    <row r="126" spans="2:33" x14ac:dyDescent="0.25">
      <c r="B126" s="186" t="s">
        <v>115</v>
      </c>
      <c r="C126" s="186"/>
      <c r="D126" s="196"/>
      <c r="E126" s="196"/>
      <c r="F126" s="196"/>
      <c r="G126" s="196"/>
      <c r="J126" s="232">
        <f>J123</f>
        <v>7.8951663588552379E-2</v>
      </c>
      <c r="K126" s="212">
        <f t="shared" si="92"/>
        <v>8.0793052990460315E-2</v>
      </c>
      <c r="L126" s="212">
        <f t="shared" si="92"/>
        <v>8.2634442392368251E-2</v>
      </c>
      <c r="M126" s="212">
        <f t="shared" si="92"/>
        <v>8.4475831794276188E-2</v>
      </c>
      <c r="N126" s="212">
        <f t="shared" si="92"/>
        <v>8.6317221196184124E-2</v>
      </c>
      <c r="O126" s="212">
        <f t="shared" si="92"/>
        <v>8.815861059809206E-2</v>
      </c>
      <c r="P126" s="212">
        <f t="shared" si="92"/>
        <v>0.09</v>
      </c>
      <c r="Q126" s="293">
        <v>0.09</v>
      </c>
      <c r="R126" s="198"/>
      <c r="S126" s="198"/>
      <c r="T126" s="198"/>
      <c r="U126" s="198"/>
      <c r="X126" s="186"/>
      <c r="Y126" s="189"/>
      <c r="Z126" s="173"/>
      <c r="AA126" s="173"/>
      <c r="AB126" s="173"/>
      <c r="AC126" s="173"/>
      <c r="AD126" s="173"/>
      <c r="AE126" s="173"/>
      <c r="AF126" s="173"/>
      <c r="AG126" s="173"/>
    </row>
    <row r="127" spans="2:33" x14ac:dyDescent="0.25">
      <c r="B127" s="186" t="s">
        <v>116</v>
      </c>
      <c r="C127" s="186"/>
      <c r="D127" s="196"/>
      <c r="E127" s="196"/>
      <c r="F127" s="196"/>
      <c r="G127" s="196"/>
      <c r="H127" s="196"/>
      <c r="I127" s="196"/>
      <c r="J127" s="232">
        <f>J123</f>
        <v>7.8951663588552379E-2</v>
      </c>
      <c r="K127" s="212">
        <f t="shared" si="92"/>
        <v>7.9959719657126976E-2</v>
      </c>
      <c r="L127" s="212">
        <f t="shared" si="92"/>
        <v>8.0967775725701588E-2</v>
      </c>
      <c r="M127" s="212">
        <f t="shared" si="92"/>
        <v>8.1975831794276199E-2</v>
      </c>
      <c r="N127" s="212">
        <f t="shared" si="92"/>
        <v>8.2983887862850797E-2</v>
      </c>
      <c r="O127" s="212">
        <f t="shared" si="92"/>
        <v>8.3991943931425395E-2</v>
      </c>
      <c r="P127" s="212">
        <f t="shared" si="92"/>
        <v>8.5000000000000006E-2</v>
      </c>
      <c r="Q127" s="293">
        <v>8.5000000000000006E-2</v>
      </c>
      <c r="R127" s="198"/>
      <c r="S127" s="198"/>
      <c r="T127" s="198"/>
      <c r="U127" s="198"/>
      <c r="X127" s="186"/>
      <c r="Y127" s="189"/>
      <c r="Z127" s="173"/>
      <c r="AA127" s="173"/>
      <c r="AB127" s="173"/>
      <c r="AC127" s="173"/>
      <c r="AD127" s="173"/>
      <c r="AE127" s="173"/>
      <c r="AF127" s="173"/>
      <c r="AG127" s="173"/>
    </row>
    <row r="128" spans="2:33" s="345" customFormat="1" ht="15" x14ac:dyDescent="0.25">
      <c r="B128" s="219" t="s">
        <v>549</v>
      </c>
      <c r="C128" s="344"/>
      <c r="D128" s="196"/>
      <c r="E128" s="196"/>
      <c r="F128" s="196"/>
      <c r="G128" s="196"/>
      <c r="H128" s="196"/>
      <c r="I128" s="196"/>
      <c r="J128" s="232"/>
      <c r="K128" s="367">
        <f>INDEX(Table26[Forecast], MATCH(K41, Table26[Timeline], 0))</f>
        <v>2567.9044953039534</v>
      </c>
      <c r="L128" s="367">
        <f>INDEX(Table26[Forecast], MATCH(L41, Table26[Timeline], 0))</f>
        <v>2875.273663452555</v>
      </c>
      <c r="M128" s="367">
        <f>INDEX(Table26[Forecast], MATCH(M41, Table26[Timeline], 0))</f>
        <v>3182.6428316011566</v>
      </c>
      <c r="N128" s="367">
        <f>INDEX(Table26[Forecast], MATCH(N41, Table26[Timeline], 0))</f>
        <v>3490.0119997497582</v>
      </c>
      <c r="O128" s="367">
        <f>INDEX(Table26[Forecast], MATCH(O41, Table26[Timeline], 0))</f>
        <v>3797.3811678983598</v>
      </c>
      <c r="P128" s="367">
        <f>INDEX(Table26[Forecast], MATCH(P41, Table26[Timeline], 0))</f>
        <v>4104.7503360469618</v>
      </c>
      <c r="Q128" s="363">
        <f>AVERAGE(K128:P128)</f>
        <v>3336.3274156754574</v>
      </c>
      <c r="R128" s="198"/>
      <c r="S128"/>
      <c r="T128"/>
      <c r="U128"/>
      <c r="V128"/>
      <c r="W128" s="173"/>
      <c r="X128" s="344"/>
      <c r="Y128" s="189"/>
      <c r="Z128" s="173"/>
      <c r="AA128" s="173"/>
      <c r="AB128" s="173"/>
      <c r="AC128" s="173"/>
      <c r="AD128" s="173"/>
      <c r="AE128" s="173"/>
      <c r="AF128" s="173"/>
      <c r="AG128" s="173"/>
    </row>
    <row r="129" spans="2:33" s="345" customFormat="1" ht="15" x14ac:dyDescent="0.25">
      <c r="B129" s="219" t="s">
        <v>548</v>
      </c>
      <c r="C129" s="344"/>
      <c r="D129" s="196"/>
      <c r="E129" s="203"/>
      <c r="F129" s="203"/>
      <c r="G129" s="203"/>
      <c r="H129" s="203"/>
      <c r="I129" s="204"/>
      <c r="J129" s="175"/>
      <c r="K129" s="366">
        <f>K128-K122</f>
        <v>-109.18197043030841</v>
      </c>
      <c r="L129" s="366">
        <f t="shared" ref="L129" si="93">L128-L122</f>
        <v>-305.88943874350934</v>
      </c>
      <c r="M129" s="366">
        <f t="shared" ref="M129" si="94">M128-M122</f>
        <v>-812.47230593202949</v>
      </c>
      <c r="N129" s="366">
        <f t="shared" ref="N129" si="95">N128-N122</f>
        <v>-1286.7292922720039</v>
      </c>
      <c r="O129" s="366">
        <f t="shared" ref="O129" si="96">O128-O122</f>
        <v>-1920.6335611467989</v>
      </c>
      <c r="P129" s="366">
        <f t="shared" ref="P129" si="97">P128-P122</f>
        <v>-2752.3693220769428</v>
      </c>
      <c r="Q129" s="365">
        <f>Q122-Q128</f>
        <v>1197.879315100266</v>
      </c>
      <c r="R129" s="198"/>
      <c r="S129"/>
      <c r="T129"/>
      <c r="U129"/>
      <c r="V129"/>
      <c r="W129" s="173"/>
      <c r="X129" s="344"/>
      <c r="Y129" s="189"/>
      <c r="Z129" s="173"/>
      <c r="AA129" s="173"/>
      <c r="AB129" s="173"/>
      <c r="AC129" s="173"/>
      <c r="AD129" s="173"/>
      <c r="AE129" s="173"/>
      <c r="AF129" s="173"/>
      <c r="AG129" s="173"/>
    </row>
    <row r="130" spans="2:33" x14ac:dyDescent="0.2">
      <c r="B130" s="186"/>
      <c r="C130" s="186"/>
      <c r="D130" s="236"/>
      <c r="E130" s="236"/>
      <c r="F130" s="236"/>
      <c r="G130" s="236"/>
      <c r="H130" s="236"/>
      <c r="I130" s="236"/>
      <c r="J130" s="232"/>
      <c r="K130" s="175"/>
      <c r="L130" s="175"/>
      <c r="M130" s="175"/>
      <c r="N130" s="175"/>
      <c r="O130" s="175"/>
      <c r="P130" s="175"/>
      <c r="Q130" s="175"/>
      <c r="R130" s="198"/>
      <c r="S130" s="198"/>
      <c r="T130" s="198"/>
      <c r="U130" s="198"/>
      <c r="X130" s="186"/>
      <c r="Y130" s="189"/>
      <c r="Z130" s="173"/>
      <c r="AA130" s="173"/>
      <c r="AB130" s="173"/>
      <c r="AC130" s="173"/>
      <c r="AD130" s="173"/>
      <c r="AE130" s="173"/>
      <c r="AF130" s="173"/>
      <c r="AG130" s="173"/>
    </row>
    <row r="131" spans="2:33" ht="15" thickBot="1" x14ac:dyDescent="0.3">
      <c r="B131" s="420" t="s">
        <v>134</v>
      </c>
      <c r="C131" s="420"/>
      <c r="D131" s="233">
        <f>315663/1000</f>
        <v>315.66300000000001</v>
      </c>
      <c r="E131" s="233">
        <f>431043/1000</f>
        <v>431.04300000000001</v>
      </c>
      <c r="F131" s="233">
        <f>630294/1000</f>
        <v>630.29399999999998</v>
      </c>
      <c r="G131" s="233">
        <f>914369/1000</f>
        <v>914.36900000000003</v>
      </c>
      <c r="H131" s="233">
        <f>'Income Statement'!$J$14/1000</f>
        <v>1076.4860000000001</v>
      </c>
      <c r="I131" s="233">
        <f>'Income Statement'!$O$14/1000</f>
        <v>1351.6210000000001</v>
      </c>
      <c r="J131" s="238">
        <f>AVERAGE(D131:I131)</f>
        <v>786.57933333333347</v>
      </c>
      <c r="K131" s="229" cm="1">
        <f t="array" ref="K131">K$46*_xlfn.SWITCH($G$21, "Conservative", K134, "Base", K135, "Optimistic", K136,K135)</f>
        <v>1452.9553447878795</v>
      </c>
      <c r="L131" s="229" cm="1">
        <f t="array" ref="L131">L$46*_xlfn.SWITCH($G$21, "Conservative", L134, "Base", L135, "Optimistic", L136,L135)</f>
        <v>1796.2146401397449</v>
      </c>
      <c r="M131" s="229" cm="1">
        <f t="array" ref="M131">M$46*_xlfn.SWITCH($G$21, "Conservative", M134, "Base", M135, "Optimistic", M136,M135)</f>
        <v>2341.1592986603896</v>
      </c>
      <c r="N131" s="229" cm="1">
        <f t="array" ref="N131">N$46*_xlfn.SWITCH($G$21, "Conservative", N134, "Base", N135, "Optimistic", N136,N135)</f>
        <v>2898.7703188993514</v>
      </c>
      <c r="O131" s="229" cm="1">
        <f t="array" ref="O131">O$46*_xlfn.SWITCH($G$21, "Conservative", O134, "Base", O135, "Optimistic", O136,O135)</f>
        <v>3586.3171352138029</v>
      </c>
      <c r="P131" s="229" cm="1">
        <f t="array" ref="P131">P$46*_xlfn.SWITCH($G$21, "Conservative", P134, "Base", P135, "Optimistic", P136,P135)</f>
        <v>4436.9597787860557</v>
      </c>
      <c r="Q131" s="235">
        <f>P131</f>
        <v>4436.9597787860557</v>
      </c>
      <c r="R131" s="198"/>
      <c r="S131" s="198"/>
      <c r="T131" s="198"/>
      <c r="U131" s="198"/>
      <c r="X131" s="186"/>
      <c r="Y131" s="189"/>
      <c r="Z131" s="173"/>
      <c r="AA131" s="173"/>
      <c r="AB131" s="173"/>
      <c r="AC131" s="173"/>
      <c r="AD131" s="173"/>
      <c r="AE131" s="173"/>
      <c r="AF131" s="173"/>
      <c r="AG131" s="173"/>
    </row>
    <row r="132" spans="2:33" x14ac:dyDescent="0.25">
      <c r="B132" s="186" t="s">
        <v>252</v>
      </c>
      <c r="C132" s="186"/>
      <c r="D132" s="236">
        <f t="shared" ref="D132:G132" si="98">D131/D$46</f>
        <v>3.5744876004982447E-2</v>
      </c>
      <c r="E132" s="236">
        <f>E131/E$46</f>
        <v>3.6864241857300355E-2</v>
      </c>
      <c r="F132" s="236">
        <f t="shared" si="98"/>
        <v>3.9907179941750033E-2</v>
      </c>
      <c r="G132" s="236">
        <f t="shared" si="98"/>
        <v>4.5364606072633464E-2</v>
      </c>
      <c r="H132" s="236">
        <f>H131/H$46</f>
        <v>4.3066330612898066E-2</v>
      </c>
      <c r="I132" s="236">
        <f>I131/I$46</f>
        <v>4.5512189373021754E-2</v>
      </c>
      <c r="J132" s="232">
        <f>AVERAGE(D132:I132)</f>
        <v>4.1076570643764354E-2</v>
      </c>
      <c r="K132" s="288">
        <f>K131/K$46</f>
        <v>4.3397142203136965E-2</v>
      </c>
      <c r="L132" s="288">
        <f t="shared" ref="L132" si="99">L131/L$46</f>
        <v>4.5717713762509569E-2</v>
      </c>
      <c r="M132" s="288">
        <f t="shared" ref="M132" si="100">M131/M$46</f>
        <v>4.8038285321882174E-2</v>
      </c>
      <c r="N132" s="288">
        <f t="shared" ref="N132" si="101">N131/N$46</f>
        <v>5.0358856881254792E-2</v>
      </c>
      <c r="O132" s="288">
        <f t="shared" ref="O132" si="102">O131/O$46</f>
        <v>5.2679428440627396E-2</v>
      </c>
      <c r="P132" s="288">
        <f t="shared" ref="P132" si="103">P131/P$46</f>
        <v>5.5000000000000007E-2</v>
      </c>
      <c r="Q132" s="289">
        <f>AVERAGE(K132:P132)</f>
        <v>4.9198571101568479E-2</v>
      </c>
      <c r="R132" s="198"/>
      <c r="S132" s="198"/>
      <c r="T132" s="198"/>
      <c r="U132" s="198"/>
      <c r="X132" s="186"/>
      <c r="Y132" s="189"/>
      <c r="Z132" s="173"/>
      <c r="AA132" s="173"/>
      <c r="AB132" s="173"/>
      <c r="AC132" s="173"/>
      <c r="AD132" s="173"/>
      <c r="AE132" s="173"/>
      <c r="AF132" s="173"/>
      <c r="AG132" s="173"/>
    </row>
    <row r="133" spans="2:33" x14ac:dyDescent="0.25">
      <c r="B133" s="168" t="s">
        <v>267</v>
      </c>
      <c r="D133" s="223"/>
      <c r="E133" s="223">
        <f>E131/D131-1</f>
        <v>0.36551638931392016</v>
      </c>
      <c r="F133" s="223">
        <f t="shared" ref="F133:H133" si="104">F131/E131-1</f>
        <v>0.46225318587704711</v>
      </c>
      <c r="G133" s="223">
        <f t="shared" si="104"/>
        <v>0.45070237063973329</v>
      </c>
      <c r="H133" s="223">
        <f t="shared" si="104"/>
        <v>0.1772993178902611</v>
      </c>
      <c r="I133" s="223">
        <f>I131/H131-1</f>
        <v>0.25558623149766913</v>
      </c>
      <c r="J133" s="247">
        <f>AVERAGE(E133:I133)</f>
        <v>0.34227149904372617</v>
      </c>
      <c r="K133" s="288">
        <f>K131/I131-1</f>
        <v>7.4972455139332261E-2</v>
      </c>
      <c r="L133" s="288">
        <f>L131/K131-1</f>
        <v>0.23624903310567924</v>
      </c>
      <c r="M133" s="288">
        <f t="shared" ref="M133:P133" si="105">M131/L131-1</f>
        <v>0.3033850444945978</v>
      </c>
      <c r="N133" s="288">
        <f t="shared" si="105"/>
        <v>0.23817730837795903</v>
      </c>
      <c r="O133" s="288">
        <f t="shared" si="105"/>
        <v>0.23718568243637517</v>
      </c>
      <c r="P133" s="288">
        <f t="shared" si="105"/>
        <v>0.23719113829054628</v>
      </c>
      <c r="Q133" s="289">
        <f>AVERAGE(K133:P133)</f>
        <v>0.22119344364074831</v>
      </c>
      <c r="R133" s="198"/>
      <c r="S133" s="198"/>
      <c r="T133" s="198"/>
      <c r="U133" s="198"/>
      <c r="X133" s="186"/>
      <c r="Y133" s="189"/>
      <c r="Z133" s="173"/>
      <c r="AA133" s="173"/>
      <c r="AB133" s="173"/>
      <c r="AC133" s="173"/>
      <c r="AD133" s="173"/>
      <c r="AE133" s="173"/>
      <c r="AF133" s="173"/>
      <c r="AG133" s="173"/>
    </row>
    <row r="134" spans="2:33" x14ac:dyDescent="0.25">
      <c r="B134" s="186" t="s">
        <v>114</v>
      </c>
      <c r="C134" s="186"/>
      <c r="D134" s="196"/>
      <c r="E134" s="196"/>
      <c r="F134" s="196"/>
      <c r="G134" s="196"/>
      <c r="H134" s="196"/>
      <c r="I134" s="231"/>
      <c r="J134" s="232">
        <f>J132</f>
        <v>4.1076570643764354E-2</v>
      </c>
      <c r="K134" s="212">
        <f t="shared" ref="K134:P136" si="106">J134-(J134-$Q134)/($Q$41-K$41)</f>
        <v>4.5063808869803629E-2</v>
      </c>
      <c r="L134" s="212">
        <f t="shared" si="106"/>
        <v>4.9051047095842903E-2</v>
      </c>
      <c r="M134" s="212">
        <f t="shared" si="106"/>
        <v>5.3038285321882178E-2</v>
      </c>
      <c r="N134" s="212">
        <f t="shared" si="106"/>
        <v>5.7025523547921453E-2</v>
      </c>
      <c r="O134" s="212">
        <f t="shared" si="106"/>
        <v>6.1012761773960728E-2</v>
      </c>
      <c r="P134" s="212">
        <f t="shared" si="106"/>
        <v>6.5000000000000002E-2</v>
      </c>
      <c r="Q134" s="293">
        <v>6.5000000000000002E-2</v>
      </c>
      <c r="R134" s="198"/>
      <c r="S134" s="198"/>
      <c r="T134" s="198"/>
      <c r="U134" s="198"/>
      <c r="X134" s="186"/>
      <c r="Y134" s="189"/>
      <c r="Z134" s="173"/>
      <c r="AA134" s="173"/>
      <c r="AB134" s="173"/>
      <c r="AC134" s="173"/>
      <c r="AD134" s="173"/>
      <c r="AE134" s="173"/>
      <c r="AF134" s="173"/>
      <c r="AG134" s="173"/>
    </row>
    <row r="135" spans="2:33" x14ac:dyDescent="0.25">
      <c r="B135" s="186" t="s">
        <v>115</v>
      </c>
      <c r="C135" s="186"/>
      <c r="D135" s="196"/>
      <c r="E135" s="196"/>
      <c r="F135" s="196"/>
      <c r="G135" s="196"/>
      <c r="J135" s="232">
        <f>J132</f>
        <v>4.1076570643764354E-2</v>
      </c>
      <c r="K135" s="212">
        <f t="shared" si="106"/>
        <v>4.4230475536470297E-2</v>
      </c>
      <c r="L135" s="212">
        <f t="shared" si="106"/>
        <v>4.738438042917624E-2</v>
      </c>
      <c r="M135" s="212">
        <f t="shared" si="106"/>
        <v>5.0538285321882176E-2</v>
      </c>
      <c r="N135" s="212">
        <f t="shared" si="106"/>
        <v>5.3692190214588119E-2</v>
      </c>
      <c r="O135" s="212">
        <f t="shared" si="106"/>
        <v>5.6846095107294062E-2</v>
      </c>
      <c r="P135" s="212">
        <f t="shared" si="106"/>
        <v>0.06</v>
      </c>
      <c r="Q135" s="293">
        <v>0.06</v>
      </c>
      <c r="R135" s="198"/>
      <c r="S135" s="198"/>
      <c r="T135" s="198"/>
      <c r="U135" s="198"/>
      <c r="X135" s="186"/>
      <c r="Y135" s="189"/>
      <c r="Z135" s="173"/>
      <c r="AA135" s="173"/>
      <c r="AB135" s="173"/>
      <c r="AC135" s="173"/>
      <c r="AD135" s="173"/>
      <c r="AE135" s="173"/>
      <c r="AF135" s="173"/>
      <c r="AG135" s="173"/>
    </row>
    <row r="136" spans="2:33" x14ac:dyDescent="0.25">
      <c r="B136" s="186" t="s">
        <v>116</v>
      </c>
      <c r="C136" s="186"/>
      <c r="D136" s="196"/>
      <c r="E136" s="196"/>
      <c r="F136" s="196"/>
      <c r="G136" s="196"/>
      <c r="H136" s="196"/>
      <c r="I136" s="196"/>
      <c r="J136" s="232">
        <f>J132</f>
        <v>4.1076570643764354E-2</v>
      </c>
      <c r="K136" s="212">
        <f t="shared" si="106"/>
        <v>4.3397142203136965E-2</v>
      </c>
      <c r="L136" s="212">
        <f t="shared" si="106"/>
        <v>4.5717713762509569E-2</v>
      </c>
      <c r="M136" s="212">
        <f t="shared" si="106"/>
        <v>4.8038285321882174E-2</v>
      </c>
      <c r="N136" s="212">
        <f t="shared" si="106"/>
        <v>5.0358856881254785E-2</v>
      </c>
      <c r="O136" s="212">
        <f t="shared" si="106"/>
        <v>5.2679428440627396E-2</v>
      </c>
      <c r="P136" s="212">
        <f t="shared" si="106"/>
        <v>5.5E-2</v>
      </c>
      <c r="Q136" s="293">
        <v>5.5E-2</v>
      </c>
      <c r="R136" s="198"/>
      <c r="S136" s="198"/>
      <c r="T136" s="198"/>
      <c r="U136" s="198"/>
      <c r="X136" s="186"/>
      <c r="Y136" s="189"/>
      <c r="Z136" s="173"/>
      <c r="AA136" s="173"/>
      <c r="AB136" s="173"/>
      <c r="AC136" s="173"/>
      <c r="AD136" s="173"/>
      <c r="AE136" s="173"/>
      <c r="AF136" s="173"/>
      <c r="AG136" s="173"/>
    </row>
    <row r="137" spans="2:33" s="345" customFormat="1" ht="15" x14ac:dyDescent="0.25">
      <c r="B137" s="219" t="s">
        <v>549</v>
      </c>
      <c r="C137" s="344"/>
      <c r="D137" s="196"/>
      <c r="E137" s="196"/>
      <c r="F137" s="196"/>
      <c r="G137" s="196"/>
      <c r="H137" s="196"/>
      <c r="I137" s="196"/>
      <c r="J137" s="232"/>
      <c r="K137" s="367">
        <f>INDEX(Table27[Forecast], MATCH(K41, Table27[Timeline], 0))</f>
        <v>1557.3290902572737</v>
      </c>
      <c r="L137" s="367">
        <f>INDEX(Table27[Forecast], MATCH(L41, Table27[Timeline], 0))</f>
        <v>1774.8574124500058</v>
      </c>
      <c r="M137" s="367">
        <f>INDEX(Table27[Forecast], MATCH(M41, Table27[Timeline], 0))</f>
        <v>1992.3857346427376</v>
      </c>
      <c r="N137" s="367">
        <f>INDEX(Table27[Forecast], MATCH(N41, Table27[Timeline], 0))</f>
        <v>2209.9140568354696</v>
      </c>
      <c r="O137" s="367">
        <f>INDEX(Table27[Forecast], MATCH(O41, Table27[Timeline], 0))</f>
        <v>2427.4423790282017</v>
      </c>
      <c r="P137" s="367">
        <f>INDEX(Table27[Forecast], MATCH(P41, Table27[Timeline], 0))</f>
        <v>2644.9707012209337</v>
      </c>
      <c r="Q137" s="363">
        <f>AVERAGE(K137:P137)</f>
        <v>2101.1498957391036</v>
      </c>
      <c r="R137" s="198"/>
      <c r="S137"/>
      <c r="T137"/>
      <c r="U137"/>
      <c r="V137"/>
      <c r="W137" s="173"/>
      <c r="X137" s="344"/>
      <c r="Y137" s="189"/>
      <c r="Z137" s="173"/>
      <c r="AA137" s="173"/>
      <c r="AB137" s="173"/>
      <c r="AC137" s="173"/>
      <c r="AD137" s="173"/>
      <c r="AE137" s="173"/>
      <c r="AF137" s="173"/>
      <c r="AG137" s="173"/>
    </row>
    <row r="138" spans="2:33" s="345" customFormat="1" ht="15" x14ac:dyDescent="0.25">
      <c r="B138" s="219" t="s">
        <v>548</v>
      </c>
      <c r="C138" s="344"/>
      <c r="D138" s="196"/>
      <c r="E138" s="203"/>
      <c r="F138" s="203"/>
      <c r="G138" s="203"/>
      <c r="H138" s="203"/>
      <c r="I138" s="204"/>
      <c r="J138" s="175"/>
      <c r="K138" s="366">
        <f>K137-K131</f>
        <v>104.37374546939418</v>
      </c>
      <c r="L138" s="366">
        <f t="shared" ref="L138" si="107">L137-L131</f>
        <v>-21.357227689739148</v>
      </c>
      <c r="M138" s="366">
        <f t="shared" ref="M138" si="108">M137-M131</f>
        <v>-348.77356401765201</v>
      </c>
      <c r="N138" s="366">
        <f t="shared" ref="N138" si="109">N137-N131</f>
        <v>-688.85626206388179</v>
      </c>
      <c r="O138" s="366">
        <f t="shared" ref="O138" si="110">O137-O131</f>
        <v>-1158.8747561856012</v>
      </c>
      <c r="P138" s="366">
        <f t="shared" ref="P138" si="111">P137-P131</f>
        <v>-1791.989077565122</v>
      </c>
      <c r="Q138" s="365">
        <f>Q131-Q137</f>
        <v>2335.8098830469521</v>
      </c>
      <c r="R138" s="198"/>
      <c r="S138"/>
      <c r="T138"/>
      <c r="U138"/>
      <c r="V138"/>
      <c r="W138" s="173"/>
      <c r="X138" s="344"/>
      <c r="Y138" s="189"/>
      <c r="Z138" s="173"/>
      <c r="AA138" s="173"/>
      <c r="AB138" s="173"/>
      <c r="AC138" s="173"/>
      <c r="AD138" s="173"/>
      <c r="AE138" s="173"/>
      <c r="AF138" s="173"/>
      <c r="AG138" s="173"/>
    </row>
    <row r="139" spans="2:33" x14ac:dyDescent="0.25">
      <c r="D139" s="223"/>
      <c r="E139" s="223"/>
      <c r="F139" s="223"/>
      <c r="G139" s="223"/>
      <c r="H139" s="223"/>
      <c r="I139" s="223"/>
      <c r="J139" s="247"/>
      <c r="K139" s="288"/>
      <c r="L139" s="288"/>
      <c r="M139" s="288"/>
      <c r="N139" s="288"/>
      <c r="O139" s="288"/>
      <c r="P139" s="288"/>
      <c r="Q139" s="289"/>
      <c r="R139" s="198"/>
      <c r="S139" s="198"/>
      <c r="T139" s="198"/>
      <c r="U139" s="198"/>
      <c r="X139" s="186"/>
      <c r="Y139" s="189"/>
      <c r="Z139" s="173"/>
      <c r="AA139" s="173"/>
      <c r="AB139" s="173"/>
      <c r="AC139" s="173"/>
      <c r="AD139" s="173"/>
      <c r="AE139" s="173"/>
      <c r="AF139" s="173"/>
      <c r="AG139" s="173"/>
    </row>
    <row r="140" spans="2:33" x14ac:dyDescent="0.2">
      <c r="B140" s="186"/>
      <c r="C140" s="186"/>
      <c r="D140" s="236"/>
      <c r="E140" s="236"/>
      <c r="F140" s="236"/>
      <c r="G140" s="236"/>
      <c r="H140" s="236"/>
      <c r="I140" s="236"/>
      <c r="J140" s="232"/>
      <c r="K140" s="175"/>
      <c r="L140" s="175"/>
      <c r="M140" s="175"/>
      <c r="N140" s="175"/>
      <c r="O140" s="175"/>
      <c r="P140" s="175"/>
      <c r="Q140" s="240"/>
      <c r="R140" s="198"/>
      <c r="S140" s="198"/>
      <c r="T140" s="198"/>
      <c r="U140" s="198"/>
      <c r="X140" s="186"/>
      <c r="Y140" s="189"/>
      <c r="Z140" s="173"/>
      <c r="AA140" s="173"/>
      <c r="AB140" s="173"/>
      <c r="AC140" s="173"/>
      <c r="AD140" s="173"/>
      <c r="AE140" s="173"/>
      <c r="AF140" s="173"/>
      <c r="AG140" s="173"/>
    </row>
    <row r="141" spans="2:33" ht="15" thickBot="1" x14ac:dyDescent="0.3">
      <c r="B141" s="241" t="s">
        <v>246</v>
      </c>
      <c r="C141" s="321"/>
      <c r="D141" s="322">
        <f t="shared" ref="D141:I141" si="112">SUM(D113,D122,D131)</f>
        <v>2193.4139999999998</v>
      </c>
      <c r="E141" s="322">
        <f t="shared" si="112"/>
        <v>2821.0340000000001</v>
      </c>
      <c r="F141" s="322">
        <f t="shared" si="112"/>
        <v>4221.5770000000002</v>
      </c>
      <c r="G141" s="322">
        <f t="shared" si="112"/>
        <v>5111.8309999999992</v>
      </c>
      <c r="H141" s="322">
        <f t="shared" si="112"/>
        <v>5134.848</v>
      </c>
      <c r="I141" s="322">
        <f t="shared" si="112"/>
        <v>6170.7670000000007</v>
      </c>
      <c r="J141" s="323">
        <f>AVERAGE(D141:I141)</f>
        <v>4275.5784999999996</v>
      </c>
      <c r="K141" s="322">
        <f t="shared" ref="K141:P141" si="113">SUM(K113,K122,K131)</f>
        <v>7848.1630812391877</v>
      </c>
      <c r="L141" s="322">
        <f t="shared" si="113"/>
        <v>9096.5739407816727</v>
      </c>
      <c r="M141" s="322">
        <f t="shared" si="113"/>
        <v>11143.138703206832</v>
      </c>
      <c r="N141" s="322">
        <f t="shared" si="113"/>
        <v>12995.498531351228</v>
      </c>
      <c r="O141" s="322">
        <f t="shared" si="113"/>
        <v>15173.395936874464</v>
      </c>
      <c r="P141" s="322">
        <f t="shared" si="113"/>
        <v>17747.839115144223</v>
      </c>
      <c r="Q141" s="328">
        <f>P141</f>
        <v>17747.839115144223</v>
      </c>
      <c r="R141" s="198"/>
      <c r="S141" s="198"/>
      <c r="T141" s="198"/>
      <c r="U141" s="198"/>
      <c r="X141" s="186"/>
      <c r="Y141" s="189"/>
      <c r="Z141" s="173"/>
      <c r="AA141" s="173"/>
      <c r="AB141" s="173"/>
      <c r="AC141" s="173"/>
      <c r="AD141" s="173"/>
      <c r="AE141" s="173"/>
      <c r="AF141" s="173"/>
      <c r="AG141" s="173"/>
    </row>
    <row r="142" spans="2:33" ht="15" thickTop="1" x14ac:dyDescent="0.25">
      <c r="B142" s="186" t="s">
        <v>267</v>
      </c>
      <c r="C142" s="186"/>
      <c r="D142" s="196"/>
      <c r="E142" s="203">
        <f>E141/D141-1</f>
        <v>0.28613841253862726</v>
      </c>
      <c r="F142" s="203">
        <f t="shared" ref="F142:P142" si="114">F141/E141-1</f>
        <v>0.49646441694782828</v>
      </c>
      <c r="G142" s="203">
        <f t="shared" si="114"/>
        <v>0.21088185765651057</v>
      </c>
      <c r="H142" s="203">
        <f t="shared" si="114"/>
        <v>4.5026918925921144E-3</v>
      </c>
      <c r="I142" s="203">
        <f t="shared" si="114"/>
        <v>0.20174287534898805</v>
      </c>
      <c r="J142" s="242">
        <f>AVERAGE(E142:I142)</f>
        <v>0.23994605087690926</v>
      </c>
      <c r="K142" s="203">
        <f t="shared" si="114"/>
        <v>0.83557922775577342</v>
      </c>
      <c r="L142" s="203">
        <f t="shared" si="114"/>
        <v>0.15907045338122194</v>
      </c>
      <c r="M142" s="203">
        <f t="shared" si="114"/>
        <v>0.22498193009238565</v>
      </c>
      <c r="N142" s="203">
        <f t="shared" si="114"/>
        <v>0.16623322005417673</v>
      </c>
      <c r="O142" s="203">
        <f t="shared" si="114"/>
        <v>0.16758860002708831</v>
      </c>
      <c r="P142" s="203">
        <f t="shared" si="114"/>
        <v>0.16966822647877611</v>
      </c>
      <c r="Q142" s="203"/>
      <c r="R142" s="198"/>
      <c r="S142" s="198"/>
      <c r="T142" s="198"/>
      <c r="U142" s="198"/>
      <c r="X142" s="186"/>
      <c r="Y142" s="189"/>
      <c r="Z142" s="173"/>
      <c r="AA142" s="173"/>
      <c r="AB142" s="173"/>
      <c r="AC142" s="173"/>
      <c r="AD142" s="173"/>
      <c r="AE142" s="173"/>
      <c r="AF142" s="173"/>
      <c r="AG142" s="173"/>
    </row>
    <row r="143" spans="2:33" ht="15" thickBot="1" x14ac:dyDescent="0.3">
      <c r="B143" s="186"/>
      <c r="C143" s="186"/>
      <c r="D143" s="196"/>
      <c r="E143" s="196"/>
      <c r="F143" s="196"/>
      <c r="G143" s="196"/>
      <c r="H143" s="196"/>
      <c r="I143" s="196"/>
      <c r="J143" s="197"/>
      <c r="K143" s="196"/>
      <c r="L143" s="196"/>
      <c r="M143" s="196"/>
      <c r="N143" s="196"/>
      <c r="O143" s="196"/>
      <c r="P143" s="196"/>
      <c r="Q143" s="198"/>
      <c r="R143" s="198"/>
      <c r="S143" s="198"/>
      <c r="T143" s="198"/>
      <c r="U143" s="198"/>
      <c r="X143" s="186"/>
      <c r="Y143" s="189"/>
      <c r="Z143" s="173"/>
      <c r="AA143" s="173"/>
      <c r="AB143" s="173"/>
      <c r="AC143" s="173"/>
      <c r="AD143" s="173"/>
      <c r="AE143" s="173"/>
      <c r="AF143" s="173"/>
      <c r="AG143" s="173"/>
    </row>
    <row r="144" spans="2:33" ht="15" thickBot="1" x14ac:dyDescent="0.3">
      <c r="B144" s="171" t="s">
        <v>258</v>
      </c>
      <c r="D144" s="243">
        <f t="shared" ref="D144:I144" si="115">D46-D104-D141</f>
        <v>380.58600000000024</v>
      </c>
      <c r="E144" s="244">
        <f t="shared" si="115"/>
        <v>838.67899999999963</v>
      </c>
      <c r="F144" s="244">
        <f t="shared" si="115"/>
        <v>1604.4229999999998</v>
      </c>
      <c r="G144" s="244">
        <f t="shared" si="115"/>
        <v>2604.1690000000008</v>
      </c>
      <c r="H144" s="244">
        <f t="shared" si="115"/>
        <v>4585.152</v>
      </c>
      <c r="I144" s="244">
        <f t="shared" si="115"/>
        <v>6194.2329999999993</v>
      </c>
      <c r="J144" s="245">
        <f>I144</f>
        <v>6194.2329999999993</v>
      </c>
      <c r="K144" s="244">
        <f t="shared" ref="K144:P144" si="116">K46-K104-K141</f>
        <v>4601.7828332521103</v>
      </c>
      <c r="L144" s="244">
        <f t="shared" si="116"/>
        <v>5970.2971887006788</v>
      </c>
      <c r="M144" s="244">
        <f t="shared" si="116"/>
        <v>8112.8717807302473</v>
      </c>
      <c r="N144" s="244">
        <f t="shared" si="116"/>
        <v>10417.549227997823</v>
      </c>
      <c r="O144" s="244">
        <f t="shared" si="116"/>
        <v>13308.552159908262</v>
      </c>
      <c r="P144" s="244">
        <f t="shared" si="116"/>
        <v>16941.119155364944</v>
      </c>
      <c r="Q144" s="246">
        <f>P144</f>
        <v>16941.119155364944</v>
      </c>
      <c r="R144" s="198"/>
      <c r="S144" s="198"/>
      <c r="T144" s="198"/>
      <c r="U144" s="198"/>
      <c r="X144" s="186"/>
      <c r="Y144" s="189"/>
      <c r="Z144" s="173"/>
      <c r="AA144" s="173"/>
      <c r="AB144" s="173"/>
      <c r="AC144" s="173"/>
      <c r="AD144" s="173"/>
      <c r="AE144" s="173"/>
      <c r="AF144" s="173"/>
      <c r="AG144" s="173"/>
    </row>
    <row r="145" spans="2:33" x14ac:dyDescent="0.25">
      <c r="B145" s="168" t="s">
        <v>244</v>
      </c>
      <c r="E145" s="236">
        <f>E144/D144-1</f>
        <v>1.2036517370581135</v>
      </c>
      <c r="F145" s="236">
        <f t="shared" ref="F145:I145" si="117">F144/E144-1</f>
        <v>0.91303585758079131</v>
      </c>
      <c r="G145" s="236">
        <f t="shared" si="117"/>
        <v>0.62311871619890846</v>
      </c>
      <c r="H145" s="236">
        <f t="shared" si="117"/>
        <v>0.76069679041567517</v>
      </c>
      <c r="I145" s="236">
        <f t="shared" si="117"/>
        <v>0.35093296798012341</v>
      </c>
      <c r="J145" s="247">
        <f>AVERAGE(E145:I145)</f>
        <v>0.77028721384672239</v>
      </c>
      <c r="K145" s="288">
        <f>K144/J144-1</f>
        <v>-0.25708593247104028</v>
      </c>
      <c r="L145" s="288">
        <f t="shared" ref="L145:P145" si="118">L144/K144-1</f>
        <v>0.2973878614087988</v>
      </c>
      <c r="M145" s="288">
        <f t="shared" si="118"/>
        <v>0.35887235162842179</v>
      </c>
      <c r="N145" s="288">
        <f t="shared" si="118"/>
        <v>0.28407665122252546</v>
      </c>
      <c r="O145" s="288">
        <f t="shared" si="118"/>
        <v>0.27751276894767973</v>
      </c>
      <c r="P145" s="288">
        <f t="shared" si="118"/>
        <v>0.27294982593220873</v>
      </c>
      <c r="Q145" s="289">
        <f>AVERAGE(K145:P145)</f>
        <v>0.2056189211114324</v>
      </c>
      <c r="R145" s="198"/>
      <c r="S145" s="198"/>
      <c r="T145" s="198"/>
      <c r="U145" s="198"/>
      <c r="X145" s="186"/>
      <c r="Y145" s="189"/>
      <c r="Z145" s="173"/>
      <c r="AA145" s="173"/>
      <c r="AB145" s="173"/>
      <c r="AC145" s="173"/>
      <c r="AD145" s="173"/>
      <c r="AE145" s="173"/>
      <c r="AF145" s="173"/>
      <c r="AG145" s="173"/>
    </row>
    <row r="146" spans="2:33" x14ac:dyDescent="0.25">
      <c r="B146" s="168" t="s">
        <v>253</v>
      </c>
      <c r="D146" s="249">
        <f>INDEX(Table134[EBIT], MATCH(D41, Table134[Year],0))</f>
        <v>380</v>
      </c>
      <c r="E146" s="249">
        <f>INDEX(Table134[EBIT], MATCH(E41, Table134[Year],0))</f>
        <v>839</v>
      </c>
      <c r="F146" s="249">
        <f>INDEX(Table134[EBIT], MATCH(F41, Table134[Year],0))</f>
        <v>1605</v>
      </c>
      <c r="G146" s="249">
        <f>INDEX(Table134[EBIT], MATCH(G41, Table134[Year],0))</f>
        <v>2604</v>
      </c>
      <c r="H146" s="249">
        <f>INDEX(Table134[EBIT], MATCH(H41, Table134[Year],0))</f>
        <v>4585</v>
      </c>
      <c r="I146" s="249">
        <f>INDEX(Table134[EBIT], MATCH(I41, Table134[Year],0))</f>
        <v>6195</v>
      </c>
      <c r="J146" s="207">
        <f>AVERAGE(D146:I146)</f>
        <v>2701.3333333333335</v>
      </c>
      <c r="K146" s="248"/>
      <c r="L146" s="248"/>
      <c r="M146" s="248"/>
      <c r="N146" s="248"/>
      <c r="O146" s="248"/>
      <c r="P146" s="248"/>
      <c r="Q146" s="168"/>
      <c r="R146" s="198"/>
      <c r="S146" s="198"/>
      <c r="T146" s="198"/>
      <c r="U146" s="198"/>
      <c r="X146" s="186"/>
      <c r="Y146" s="189"/>
      <c r="Z146" s="173"/>
      <c r="AA146" s="173"/>
      <c r="AB146" s="173"/>
      <c r="AC146" s="173"/>
      <c r="AD146" s="173"/>
      <c r="AE146" s="173"/>
      <c r="AF146" s="173"/>
      <c r="AG146" s="173"/>
    </row>
    <row r="147" spans="2:33" x14ac:dyDescent="0.25">
      <c r="B147" s="287" t="s">
        <v>256</v>
      </c>
      <c r="D147" s="396" t="str">
        <f>IF(D144-D146&lt;1, "YES", "NO")</f>
        <v>YES</v>
      </c>
      <c r="E147" s="396" t="str">
        <f t="shared" ref="E147:I147" si="119">IF(E144-E146&lt;1, "YES", "NO")</f>
        <v>YES</v>
      </c>
      <c r="F147" s="396" t="str">
        <f t="shared" si="119"/>
        <v>YES</v>
      </c>
      <c r="G147" s="396" t="str">
        <f t="shared" si="119"/>
        <v>YES</v>
      </c>
      <c r="H147" s="396" t="str">
        <f t="shared" si="119"/>
        <v>YES</v>
      </c>
      <c r="I147" s="396" t="str">
        <f t="shared" si="119"/>
        <v>YES</v>
      </c>
      <c r="J147" s="247"/>
      <c r="K147" s="248"/>
      <c r="L147" s="248"/>
      <c r="M147" s="248"/>
      <c r="N147" s="248"/>
      <c r="O147" s="248"/>
      <c r="P147" s="248"/>
      <c r="Q147" s="168"/>
      <c r="R147" s="198"/>
      <c r="S147" s="198"/>
      <c r="T147" s="198"/>
      <c r="U147" s="198"/>
      <c r="X147" s="186"/>
      <c r="Y147" s="189"/>
      <c r="Z147" s="173"/>
      <c r="AA147" s="173"/>
      <c r="AB147" s="173"/>
      <c r="AC147" s="173"/>
      <c r="AD147" s="173"/>
      <c r="AE147" s="173"/>
      <c r="AF147" s="173"/>
      <c r="AG147" s="173"/>
    </row>
    <row r="148" spans="2:33" s="173" customFormat="1" x14ac:dyDescent="0.25"/>
    <row r="149" spans="2:33" x14ac:dyDescent="0.25">
      <c r="B149" s="171" t="s">
        <v>245</v>
      </c>
      <c r="D149" s="250">
        <f>INDEX(Table15[TAXES], MATCH('DCF Model'!D$41, Table15[Year], 0))</f>
        <v>74</v>
      </c>
      <c r="E149" s="250">
        <f>INDEX(Table15[TAXES], MATCH('DCF Model'!E$41, Table15[Year], 0))</f>
        <v>-74</v>
      </c>
      <c r="F149" s="250">
        <f>INDEX(Table15[TAXES], MATCH('DCF Model'!F$41, Table15[Year], 0))</f>
        <v>15</v>
      </c>
      <c r="G149" s="250">
        <f>INDEX(Table15[TAXES], MATCH('DCF Model'!G$41, Table15[Year], 0))</f>
        <v>195</v>
      </c>
      <c r="H149" s="250">
        <f>INDEX(Table15[TAXES], MATCH('DCF Model'!H$41, Table15[Year], 0))</f>
        <v>438</v>
      </c>
      <c r="I149" s="250">
        <f>INDEX(Table15[TAXES], MATCH('DCF Model'!I$41, Table15[Year], 0))</f>
        <v>724</v>
      </c>
      <c r="J149" s="251">
        <f>AVERAGE(D149:I149)</f>
        <v>228.66666666666666</v>
      </c>
      <c r="K149" s="239" cm="1">
        <f t="array" ref="K149">K$144*_xlfn.SWITCH($G$25, "Conservative", K151, "Base", K152, "Optimistic", K153, K152)</f>
        <v>563.26939157377512</v>
      </c>
      <c r="L149" s="239" cm="1">
        <f t="array" ref="L149">L$144*_xlfn.SWITCH($G$25, "Conservative", L151, "Base", L152, "Optimistic", L153, L152)</f>
        <v>763.73201272576875</v>
      </c>
      <c r="M149" s="239" cm="1">
        <f t="array" ref="M149">M$144*_xlfn.SWITCH($G$25, "Conservative", M151, "Base", M152, "Optimistic", M153, M152)</f>
        <v>1082.5934288873143</v>
      </c>
      <c r="N149" s="239" cm="1">
        <f t="array" ref="N149">N$144*_xlfn.SWITCH($G$25, "Conservative", N151, "Base", N152, "Optimistic", N153, N152)</f>
        <v>1447.6327579339804</v>
      </c>
      <c r="O149" s="239" cm="1">
        <f t="array" ref="O149">O$144*_xlfn.SWITCH($G$25, "Conservative", O151, "Base", O152, "Optimistic", O153, O152)</f>
        <v>1922.8260784969223</v>
      </c>
      <c r="P149" s="239" cm="1">
        <f t="array" ref="P149">P$144*_xlfn.SWITCH($G$25, "Conservative", P151, "Base", P152, "Optimistic", P153, P152)</f>
        <v>2541.1678733047415</v>
      </c>
      <c r="Q149" s="235">
        <f>AVERAGE(K149:P149)</f>
        <v>1386.8702571537506</v>
      </c>
      <c r="R149" s="198"/>
      <c r="S149" s="198"/>
      <c r="T149" s="198"/>
      <c r="U149" s="198"/>
      <c r="X149" s="186"/>
      <c r="Y149" s="189"/>
      <c r="Z149" s="173"/>
      <c r="AA149" s="173"/>
      <c r="AB149" s="173"/>
      <c r="AC149" s="173"/>
      <c r="AD149" s="173"/>
      <c r="AE149" s="173"/>
      <c r="AF149" s="173"/>
      <c r="AG149" s="173"/>
    </row>
    <row r="150" spans="2:33" x14ac:dyDescent="0.25">
      <c r="B150" s="168" t="s">
        <v>277</v>
      </c>
      <c r="D150" s="223">
        <f>D149/D144</f>
        <v>0.19443699978454265</v>
      </c>
      <c r="E150" s="223">
        <f t="shared" ref="E150:K150" si="120">E149/E144</f>
        <v>-8.8233996558874178E-2</v>
      </c>
      <c r="F150" s="223">
        <f t="shared" si="120"/>
        <v>9.3491554284624457E-3</v>
      </c>
      <c r="G150" s="223">
        <f t="shared" si="120"/>
        <v>7.4879932907580091E-2</v>
      </c>
      <c r="H150" s="223">
        <f t="shared" si="120"/>
        <v>9.5525731753276666E-2</v>
      </c>
      <c r="I150" s="223">
        <f t="shared" si="120"/>
        <v>0.11688291351003427</v>
      </c>
      <c r="J150" s="252">
        <f>AVERAGE(D150:I150)</f>
        <v>6.7140122804170324E-2</v>
      </c>
      <c r="K150" s="288">
        <f t="shared" si="120"/>
        <v>0.12240242792502855</v>
      </c>
      <c r="L150" s="288">
        <f t="shared" ref="L150" si="121">L149/L144</f>
        <v>0.12792194234002285</v>
      </c>
      <c r="M150" s="288">
        <f t="shared" ref="M150" si="122">M149/M144</f>
        <v>0.13344145675501715</v>
      </c>
      <c r="N150" s="288">
        <f t="shared" ref="N150" si="123">N149/N144</f>
        <v>0.13896097117001144</v>
      </c>
      <c r="O150" s="288">
        <f t="shared" ref="O150" si="124">O149/O144</f>
        <v>0.1444804855850057</v>
      </c>
      <c r="P150" s="288">
        <f t="shared" ref="P150" si="125">P149/P144</f>
        <v>0.15</v>
      </c>
      <c r="Q150" s="289">
        <f>AVERAGE(K150:P150)</f>
        <v>0.13620121396251431</v>
      </c>
      <c r="R150" s="198"/>
      <c r="S150" s="198"/>
      <c r="T150" s="198"/>
      <c r="U150" s="198"/>
      <c r="X150" s="186"/>
      <c r="Y150" s="189"/>
      <c r="Z150" s="173"/>
      <c r="AA150" s="173"/>
      <c r="AB150" s="173"/>
      <c r="AC150" s="173"/>
      <c r="AD150" s="173"/>
      <c r="AE150" s="173"/>
      <c r="AF150" s="173"/>
      <c r="AG150" s="173"/>
    </row>
    <row r="151" spans="2:33" x14ac:dyDescent="0.25">
      <c r="B151" s="186" t="s">
        <v>114</v>
      </c>
      <c r="C151" s="186"/>
      <c r="D151" s="196"/>
      <c r="E151" s="196"/>
      <c r="F151" s="196"/>
      <c r="G151" s="196"/>
      <c r="H151" s="196"/>
      <c r="I151" s="196"/>
      <c r="J151" s="232">
        <f>I150</f>
        <v>0.11688291351003427</v>
      </c>
      <c r="K151" s="212">
        <f>J151-(J151-$Q151)/($Q$41-K$41)</f>
        <v>0.13073576125836189</v>
      </c>
      <c r="L151" s="212">
        <f t="shared" ref="L151:P151" si="126">K151-(K151-$Q151)/($Q$41-L$41)</f>
        <v>0.14458860900668952</v>
      </c>
      <c r="M151" s="212">
        <f t="shared" si="126"/>
        <v>0.15844145675501714</v>
      </c>
      <c r="N151" s="212">
        <f t="shared" si="126"/>
        <v>0.17229430450334476</v>
      </c>
      <c r="O151" s="212">
        <f t="shared" si="126"/>
        <v>0.18614715225167239</v>
      </c>
      <c r="P151" s="212">
        <f t="shared" si="126"/>
        <v>0.2</v>
      </c>
      <c r="Q151" s="293">
        <f>$C$36</f>
        <v>0.2</v>
      </c>
      <c r="R151" s="198"/>
      <c r="S151" s="198"/>
      <c r="T151" s="198"/>
      <c r="U151" s="198"/>
      <c r="X151" s="186"/>
      <c r="Y151" s="189"/>
      <c r="Z151" s="173"/>
      <c r="AA151" s="173"/>
      <c r="AB151" s="173"/>
      <c r="AC151" s="173"/>
      <c r="AD151" s="173"/>
      <c r="AE151" s="173"/>
      <c r="AF151" s="173"/>
      <c r="AG151" s="173"/>
    </row>
    <row r="152" spans="2:33" x14ac:dyDescent="0.25">
      <c r="B152" s="186" t="s">
        <v>115</v>
      </c>
      <c r="C152" s="186"/>
      <c r="D152" s="196"/>
      <c r="E152" s="196"/>
      <c r="F152" s="196"/>
      <c r="G152" s="196"/>
      <c r="H152" s="215"/>
      <c r="I152" s="215"/>
      <c r="J152" s="232">
        <f>I150</f>
        <v>0.11688291351003427</v>
      </c>
      <c r="K152" s="212">
        <f>J152-(J152-$Q152)/($Q$41-K$41)</f>
        <v>0.12240242792502856</v>
      </c>
      <c r="L152" s="212">
        <f t="shared" ref="L152:P152" si="127">K152-(K152-$Q152)/($Q$41-L$41)</f>
        <v>0.12792194234002285</v>
      </c>
      <c r="M152" s="212">
        <f t="shared" si="127"/>
        <v>0.13344145675501715</v>
      </c>
      <c r="N152" s="212">
        <f t="shared" si="127"/>
        <v>0.13896097117001144</v>
      </c>
      <c r="O152" s="212">
        <f t="shared" si="127"/>
        <v>0.1444804855850057</v>
      </c>
      <c r="P152" s="212">
        <f t="shared" si="127"/>
        <v>0.15</v>
      </c>
      <c r="Q152" s="293">
        <v>0.15</v>
      </c>
      <c r="R152" s="198"/>
      <c r="S152" s="198"/>
      <c r="T152" s="198"/>
      <c r="U152" s="198"/>
      <c r="X152" s="186"/>
      <c r="Y152" s="189"/>
      <c r="Z152" s="173"/>
      <c r="AA152" s="173"/>
      <c r="AB152" s="173"/>
      <c r="AC152" s="173"/>
      <c r="AD152" s="173"/>
      <c r="AE152" s="173"/>
      <c r="AF152" s="173"/>
      <c r="AG152" s="173"/>
    </row>
    <row r="153" spans="2:33" x14ac:dyDescent="0.25">
      <c r="B153" s="186" t="s">
        <v>116</v>
      </c>
      <c r="C153" s="186"/>
      <c r="D153" s="196"/>
      <c r="E153" s="196"/>
      <c r="F153" s="196"/>
      <c r="G153" s="196"/>
      <c r="H153" s="196"/>
      <c r="I153" s="196"/>
      <c r="J153" s="232">
        <f>I150</f>
        <v>0.11688291351003427</v>
      </c>
      <c r="K153" s="212">
        <f t="shared" ref="K153:P153" si="128">J153-(J153-$Q153)/($Q$41-K$41)</f>
        <v>0.11740242792502856</v>
      </c>
      <c r="L153" s="212">
        <f t="shared" si="128"/>
        <v>0.11792194234002285</v>
      </c>
      <c r="M153" s="212">
        <f t="shared" si="128"/>
        <v>0.11844145675501713</v>
      </c>
      <c r="N153" s="212">
        <f t="shared" si="128"/>
        <v>0.11896097117001142</v>
      </c>
      <c r="O153" s="212">
        <f t="shared" si="128"/>
        <v>0.11948048558500571</v>
      </c>
      <c r="P153" s="212">
        <f t="shared" si="128"/>
        <v>0.12</v>
      </c>
      <c r="Q153" s="293">
        <f>$K$36</f>
        <v>0.12</v>
      </c>
      <c r="R153" s="168"/>
      <c r="S153" s="168"/>
      <c r="T153" s="168"/>
      <c r="U153" s="168"/>
      <c r="Z153" s="173"/>
      <c r="AA153" s="173"/>
      <c r="AB153" s="173"/>
      <c r="AC153" s="173"/>
      <c r="AD153" s="173"/>
      <c r="AE153" s="173"/>
      <c r="AF153" s="173"/>
      <c r="AG153" s="173"/>
    </row>
    <row r="154" spans="2:33" ht="15" thickBot="1" x14ac:dyDescent="0.3">
      <c r="B154" s="186"/>
      <c r="C154" s="186"/>
      <c r="D154" s="196"/>
      <c r="E154" s="196"/>
      <c r="F154" s="196"/>
      <c r="G154" s="196"/>
      <c r="H154" s="196"/>
      <c r="I154" s="196"/>
      <c r="J154" s="232"/>
      <c r="K154" s="173"/>
      <c r="L154" s="173"/>
      <c r="M154" s="173"/>
      <c r="N154" s="173"/>
      <c r="O154" s="173"/>
      <c r="P154" s="173"/>
      <c r="Q154" s="209"/>
      <c r="R154" s="168"/>
      <c r="S154" s="168"/>
      <c r="T154" s="168"/>
      <c r="U154" s="168"/>
      <c r="Z154" s="173"/>
      <c r="AA154" s="173"/>
      <c r="AB154" s="173"/>
      <c r="AC154" s="173"/>
      <c r="AD154" s="173"/>
      <c r="AE154" s="173"/>
      <c r="AF154" s="173"/>
      <c r="AG154" s="173"/>
    </row>
    <row r="155" spans="2:33" s="173" customFormat="1" ht="15" thickBot="1" x14ac:dyDescent="0.3">
      <c r="B155" s="253" t="s">
        <v>257</v>
      </c>
      <c r="C155" s="254"/>
      <c r="D155" s="255">
        <f t="shared" ref="D155:I155" si="129">D144-D149</f>
        <v>306.58600000000024</v>
      </c>
      <c r="E155" s="255">
        <f t="shared" si="129"/>
        <v>912.67899999999963</v>
      </c>
      <c r="F155" s="255">
        <f t="shared" si="129"/>
        <v>1589.4229999999998</v>
      </c>
      <c r="G155" s="255">
        <f t="shared" si="129"/>
        <v>2409.1690000000008</v>
      </c>
      <c r="H155" s="255">
        <f t="shared" si="129"/>
        <v>4147.152</v>
      </c>
      <c r="I155" s="255">
        <f t="shared" si="129"/>
        <v>5470.2329999999993</v>
      </c>
      <c r="J155" s="255">
        <f>AVERAGE(D155:I155)</f>
        <v>2472.5403333333329</v>
      </c>
      <c r="K155" s="256">
        <f t="shared" ref="K155:P155" si="130">K144-K149</f>
        <v>4038.5134416783353</v>
      </c>
      <c r="L155" s="256">
        <f t="shared" si="130"/>
        <v>5206.5651759749098</v>
      </c>
      <c r="M155" s="256">
        <f t="shared" si="130"/>
        <v>7030.2783518429333</v>
      </c>
      <c r="N155" s="256">
        <f t="shared" si="130"/>
        <v>8969.916470063843</v>
      </c>
      <c r="O155" s="256">
        <f t="shared" si="130"/>
        <v>11385.72608141134</v>
      </c>
      <c r="P155" s="256">
        <f t="shared" si="130"/>
        <v>14399.951282060203</v>
      </c>
      <c r="Q155" s="246">
        <f>P155</f>
        <v>14399.951282060203</v>
      </c>
    </row>
    <row r="156" spans="2:33" s="173" customFormat="1" x14ac:dyDescent="0.25">
      <c r="B156" s="257"/>
      <c r="C156" s="180"/>
      <c r="D156" s="258"/>
      <c r="E156" s="258"/>
      <c r="F156" s="258"/>
      <c r="G156" s="258"/>
      <c r="H156" s="258"/>
      <c r="I156" s="258"/>
      <c r="J156" s="258"/>
    </row>
    <row r="157" spans="2:33" x14ac:dyDescent="0.25">
      <c r="B157" s="419" t="s">
        <v>334</v>
      </c>
      <c r="C157" s="419"/>
      <c r="D157" s="259">
        <f>INDEX(Table13[[#All],[D&amp;A]], MATCH(D41, Table13[[#All],[Year]], 0))</f>
        <v>4925</v>
      </c>
      <c r="E157" s="259">
        <f>INDEX(Table13[[#All],[D&amp;A]], MATCH(E41, Table13[[#All],[Year]], 0))</f>
        <v>6270</v>
      </c>
      <c r="F157" s="259">
        <f>INDEX(Table13[[#All],[D&amp;A]], MATCH(F41, Table13[[#All],[Year]], 0))</f>
        <v>7615</v>
      </c>
      <c r="G157" s="259">
        <f>INDEX(Table13[[#All],[D&amp;A]], MATCH(G41, Table13[[#All],[Year]], 0))</f>
        <v>9320</v>
      </c>
      <c r="H157" s="259">
        <f>INDEX(Table13[[#All],[D&amp;A]], MATCH(H41, Table13[[#All],[Year]], 0))</f>
        <v>10923</v>
      </c>
      <c r="I157" s="259">
        <f>INDEX(Table13[[#All],[D&amp;A]], MATCH(I41, Table13[[#All],[Year]], 0))</f>
        <v>12439</v>
      </c>
      <c r="J157" s="260">
        <f>I157</f>
        <v>12439</v>
      </c>
      <c r="K157" s="239" cm="1">
        <f t="array" ref="K157">(J181+K183)*(_xlfn.SWITCH($G$22, "Conservative", K161, "Base", K162, "Optimistic", K163, K162))</f>
        <v>13735.496479777767</v>
      </c>
      <c r="L157" s="239" cm="1">
        <f t="array" ref="L157">(K181+L183)*(_xlfn.SWITCH($G$22, "Conservative", L161, "Base", L162, "Optimistic", L163, L162))</f>
        <v>15207.115942888931</v>
      </c>
      <c r="M157" s="239" cm="1">
        <f t="array" ref="M157">(L181+M183)*(_xlfn.SWITCH($G$22, "Conservative", M161, "Base", M162, "Optimistic", M163, M162))</f>
        <v>17397.427315888886</v>
      </c>
      <c r="N157" s="239" cm="1">
        <f t="array" ref="N157">(M181+N183)*(_xlfn.SWITCH($G$22, "Conservative", N161, "Base", N162, "Optimistic", N163, N162))</f>
        <v>19968.521159194748</v>
      </c>
      <c r="O157" s="239" cm="1">
        <f t="array" ref="O157">(N181+O183)*(_xlfn.SWITCH($G$22, "Conservative", O161, "Base", O162, "Optimistic", O163, O162))</f>
        <v>22973.240612133053</v>
      </c>
      <c r="P157" s="239" cm="1">
        <f t="array" ref="P157">(O181+P183)*(_xlfn.SWITCH($G$22, "Conservative", P161, "Base", P162, "Optimistic", P163, P162))</f>
        <v>26481.936418863686</v>
      </c>
      <c r="Q157" s="235">
        <f>AVERAGE(K157:P157)</f>
        <v>19293.956321457845</v>
      </c>
      <c r="R157" s="168"/>
      <c r="Z157" s="173"/>
      <c r="AA157" s="173"/>
      <c r="AB157" s="173"/>
      <c r="AC157" s="173"/>
      <c r="AD157" s="173"/>
      <c r="AE157" s="173"/>
      <c r="AF157" s="173"/>
      <c r="AG157" s="173"/>
    </row>
    <row r="158" spans="2:33" x14ac:dyDescent="0.25">
      <c r="B158" s="168" t="s">
        <v>252</v>
      </c>
      <c r="D158" s="223">
        <f t="shared" ref="D158:I158" si="131">D157/D$46</f>
        <v>0.55769448533574906</v>
      </c>
      <c r="E158" s="223">
        <f t="shared" si="131"/>
        <v>0.53623141182033629</v>
      </c>
      <c r="F158" s="223">
        <f t="shared" si="131"/>
        <v>0.48214511839939217</v>
      </c>
      <c r="G158" s="223">
        <f t="shared" si="131"/>
        <v>0.46239333201031951</v>
      </c>
      <c r="H158" s="223">
        <f t="shared" si="131"/>
        <v>0.4369899183869419</v>
      </c>
      <c r="I158" s="223">
        <f t="shared" si="131"/>
        <v>0.4188497541922015</v>
      </c>
      <c r="J158" s="247">
        <f>AVERAGE(D158:I158)</f>
        <v>0.48238400335749004</v>
      </c>
      <c r="K158" s="288">
        <f>K157/K$46</f>
        <v>0.41025437987609065</v>
      </c>
      <c r="L158" s="288">
        <f t="shared" ref="L158:P158" si="132">L157/L$46</f>
        <v>0.38705539877806749</v>
      </c>
      <c r="M158" s="288">
        <f t="shared" si="132"/>
        <v>0.35697809104471817</v>
      </c>
      <c r="N158" s="288">
        <f t="shared" si="132"/>
        <v>0.34690292384669319</v>
      </c>
      <c r="O158" s="288">
        <f t="shared" si="132"/>
        <v>0.33745403411012886</v>
      </c>
      <c r="P158" s="288">
        <f t="shared" si="132"/>
        <v>0.32826678078114119</v>
      </c>
      <c r="Q158" s="209">
        <f>AVERAGE(K158:P158)</f>
        <v>0.36115193473947321</v>
      </c>
      <c r="Z158" s="173"/>
      <c r="AA158" s="173"/>
      <c r="AB158" s="173"/>
      <c r="AC158" s="173"/>
      <c r="AD158" s="173"/>
      <c r="AE158" s="173"/>
      <c r="AF158" s="173"/>
      <c r="AG158" s="173"/>
    </row>
    <row r="159" spans="2:33" x14ac:dyDescent="0.25">
      <c r="B159" s="168" t="s">
        <v>550</v>
      </c>
      <c r="D159" s="223"/>
      <c r="E159" s="223">
        <f>E157/(D181+E183)</f>
        <v>0.29495211332483567</v>
      </c>
      <c r="F159" s="223">
        <f t="shared" ref="F159:I159" si="133">F157/(E181+F183)</f>
        <v>0.27065617541960679</v>
      </c>
      <c r="G159" s="223">
        <f t="shared" si="133"/>
        <v>0.27101242653040675</v>
      </c>
      <c r="H159" s="223">
        <f t="shared" si="133"/>
        <v>0.29310152829786179</v>
      </c>
      <c r="I159" s="223">
        <f t="shared" si="133"/>
        <v>0.27839238035198383</v>
      </c>
      <c r="J159" s="247">
        <f>AVERAGE(D159:I159)</f>
        <v>0.281622924784939</v>
      </c>
      <c r="K159" s="288">
        <f t="shared" ref="K159:P159" si="134">K157/K181</f>
        <v>0.3947373013164564</v>
      </c>
      <c r="L159" s="288">
        <f t="shared" si="134"/>
        <v>0.39745857689336356</v>
      </c>
      <c r="M159" s="288">
        <f t="shared" si="134"/>
        <v>0.40019049220519992</v>
      </c>
      <c r="N159" s="288">
        <f t="shared" si="134"/>
        <v>0.40293310977358093</v>
      </c>
      <c r="O159" s="288">
        <f t="shared" si="134"/>
        <v>0.40568649261093964</v>
      </c>
      <c r="P159" s="288">
        <f t="shared" si="134"/>
        <v>0.40845070422535207</v>
      </c>
      <c r="Q159" s="209">
        <f>AVERAGE(K159:P159)</f>
        <v>0.40157611283748212</v>
      </c>
      <c r="Z159" s="173"/>
      <c r="AA159" s="173"/>
      <c r="AB159" s="173"/>
      <c r="AC159" s="173"/>
      <c r="AD159" s="173"/>
      <c r="AE159" s="173"/>
      <c r="AF159" s="173"/>
      <c r="AG159" s="173"/>
    </row>
    <row r="160" spans="2:33" x14ac:dyDescent="0.25">
      <c r="B160" s="168" t="s">
        <v>267</v>
      </c>
      <c r="D160" s="223"/>
      <c r="E160" s="223">
        <f>E157/D157-1</f>
        <v>0.2730964467005077</v>
      </c>
      <c r="F160" s="223">
        <f>F157/E157-1</f>
        <v>0.21451355661881988</v>
      </c>
      <c r="G160" s="223">
        <f>G157/F157-1</f>
        <v>0.22390019697964547</v>
      </c>
      <c r="H160" s="223">
        <f>H157/G157-1</f>
        <v>0.17199570815450649</v>
      </c>
      <c r="I160" s="223">
        <f>I157/H157-1</f>
        <v>0.13878970978668859</v>
      </c>
      <c r="J160" s="247">
        <f>AVERAGE(D160:I160)</f>
        <v>0.20445912364803362</v>
      </c>
      <c r="K160" s="288">
        <f t="shared" ref="K160:P160" si="135">K157/J157-1</f>
        <v>0.10422835274361009</v>
      </c>
      <c r="L160" s="288">
        <f t="shared" si="135"/>
        <v>0.10713988134886665</v>
      </c>
      <c r="M160" s="288">
        <f t="shared" si="135"/>
        <v>0.14403200325596099</v>
      </c>
      <c r="N160" s="288">
        <f t="shared" si="135"/>
        <v>0.14778586492255141</v>
      </c>
      <c r="O160" s="288">
        <f t="shared" si="135"/>
        <v>0.15047280812554042</v>
      </c>
      <c r="P160" s="288">
        <f t="shared" si="135"/>
        <v>0.1527296852006832</v>
      </c>
      <c r="Q160" s="209">
        <f>AVERAGE(K160:P160)</f>
        <v>0.13439809926620214</v>
      </c>
      <c r="Z160" s="173"/>
      <c r="AA160" s="173"/>
      <c r="AB160" s="173"/>
      <c r="AC160" s="173"/>
      <c r="AD160" s="173"/>
      <c r="AE160" s="173"/>
      <c r="AF160" s="173"/>
      <c r="AG160" s="173"/>
    </row>
    <row r="161" spans="2:33" x14ac:dyDescent="0.25">
      <c r="B161" s="186" t="s">
        <v>114</v>
      </c>
      <c r="D161" s="223"/>
      <c r="E161" s="223"/>
      <c r="F161" s="223"/>
      <c r="G161" s="223"/>
      <c r="H161" s="223"/>
      <c r="I161" s="223"/>
      <c r="J161" s="247">
        <f>J159</f>
        <v>0.281622924784939</v>
      </c>
      <c r="K161" s="212">
        <f t="shared" ref="K161:P161" si="136">J161-(J161-$Q161)/($Q$41-K$41)</f>
        <v>0.27968577065411582</v>
      </c>
      <c r="L161" s="212">
        <f t="shared" si="136"/>
        <v>0.27774861652329264</v>
      </c>
      <c r="M161" s="212">
        <f t="shared" si="136"/>
        <v>0.27581146239246945</v>
      </c>
      <c r="N161" s="212">
        <f t="shared" si="136"/>
        <v>0.27387430826164633</v>
      </c>
      <c r="O161" s="212">
        <f t="shared" si="136"/>
        <v>0.2719371541308232</v>
      </c>
      <c r="P161" s="212">
        <f t="shared" si="136"/>
        <v>0.27</v>
      </c>
      <c r="Q161" s="293">
        <v>0.27</v>
      </c>
      <c r="Z161" s="173"/>
      <c r="AA161" s="173"/>
      <c r="AB161" s="173"/>
      <c r="AC161" s="173"/>
      <c r="AD161" s="173"/>
      <c r="AE161" s="173"/>
      <c r="AF161" s="173"/>
      <c r="AG161" s="173"/>
    </row>
    <row r="162" spans="2:33" x14ac:dyDescent="0.25">
      <c r="B162" s="186" t="s">
        <v>115</v>
      </c>
      <c r="D162" s="223"/>
      <c r="E162" s="223"/>
      <c r="F162" s="223"/>
      <c r="G162" s="223"/>
      <c r="H162" s="223"/>
      <c r="I162" s="223"/>
      <c r="J162" s="247">
        <f>J159</f>
        <v>0.281622924784939</v>
      </c>
      <c r="K162" s="212">
        <f>J162-(J162-$Q162)/($Q$41-K$41)</f>
        <v>0.28135243732078252</v>
      </c>
      <c r="L162" s="212">
        <f t="shared" ref="L162:P162" si="137">K162-(K162-$Q162)/($Q$41-L$41)</f>
        <v>0.28108194985662605</v>
      </c>
      <c r="M162" s="212">
        <f t="shared" si="137"/>
        <v>0.28081146239246957</v>
      </c>
      <c r="N162" s="212">
        <f t="shared" si="137"/>
        <v>0.28054097492831304</v>
      </c>
      <c r="O162" s="212">
        <f t="shared" si="137"/>
        <v>0.2802704874641565</v>
      </c>
      <c r="P162" s="212">
        <f t="shared" si="137"/>
        <v>0.28000000000000003</v>
      </c>
      <c r="Q162" s="293">
        <v>0.28000000000000003</v>
      </c>
      <c r="Z162" s="173"/>
      <c r="AA162" s="173"/>
      <c r="AB162" s="173"/>
      <c r="AC162" s="173"/>
      <c r="AD162" s="173"/>
      <c r="AE162" s="173"/>
      <c r="AF162" s="173"/>
      <c r="AG162" s="173"/>
    </row>
    <row r="163" spans="2:33" x14ac:dyDescent="0.25">
      <c r="B163" s="186" t="s">
        <v>116</v>
      </c>
      <c r="D163" s="223"/>
      <c r="E163" s="223"/>
      <c r="F163" s="223"/>
      <c r="G163" s="223"/>
      <c r="H163" s="223"/>
      <c r="I163" s="223"/>
      <c r="J163" s="247">
        <f>J162</f>
        <v>0.281622924784939</v>
      </c>
      <c r="K163" s="212">
        <f t="shared" ref="K163:P163" si="138">J163-(J163-$Q163)/($Q$41-K$41)</f>
        <v>0.28301910398744917</v>
      </c>
      <c r="L163" s="212">
        <f t="shared" si="138"/>
        <v>0.28441528318995934</v>
      </c>
      <c r="M163" s="212">
        <f t="shared" si="138"/>
        <v>0.28581146239246952</v>
      </c>
      <c r="N163" s="212">
        <f t="shared" si="138"/>
        <v>0.28720764159497969</v>
      </c>
      <c r="O163" s="212">
        <f t="shared" si="138"/>
        <v>0.28860382079748981</v>
      </c>
      <c r="P163" s="212">
        <f t="shared" si="138"/>
        <v>0.28999999999999998</v>
      </c>
      <c r="Q163" s="293">
        <v>0.28999999999999998</v>
      </c>
      <c r="Z163" s="173"/>
      <c r="AA163" s="173"/>
      <c r="AB163" s="173"/>
      <c r="AC163" s="173"/>
      <c r="AD163" s="173"/>
      <c r="AE163" s="173"/>
      <c r="AF163" s="173"/>
      <c r="AG163" s="173"/>
    </row>
    <row r="164" spans="2:33" s="345" customFormat="1" ht="15" x14ac:dyDescent="0.25">
      <c r="B164" s="219" t="s">
        <v>549</v>
      </c>
      <c r="C164" s="344"/>
      <c r="D164" s="196"/>
      <c r="E164" s="196"/>
      <c r="F164" s="196"/>
      <c r="G164" s="196"/>
      <c r="H164" s="196"/>
      <c r="I164" s="196"/>
      <c r="J164" s="232"/>
      <c r="K164" s="367">
        <f>INDEX(Table29[Forecast], MATCH(K41, Table29[Timeline], 0))</f>
        <v>13976.591254966597</v>
      </c>
      <c r="L164" s="367">
        <f>INDEX(Table29[Forecast], MATCH(L41, Table29[Timeline], 0))</f>
        <v>15512.95929241163</v>
      </c>
      <c r="M164" s="367">
        <f>INDEX(Table29[Forecast], MATCH(M41, Table29[Timeline], 0))</f>
        <v>17049.32732985666</v>
      </c>
      <c r="N164" s="367">
        <f>INDEX(Table29[Forecast], MATCH(N41, Table29[Timeline], 0))</f>
        <v>18585.695367301691</v>
      </c>
      <c r="O164" s="367">
        <f>INDEX(Table29[Forecast], MATCH(O41, Table29[Timeline], 0))</f>
        <v>20122.063404746725</v>
      </c>
      <c r="P164" s="367">
        <f>INDEX(Table29[Forecast], MATCH(P41, Table29[Timeline], 0))</f>
        <v>21658.431442191755</v>
      </c>
      <c r="Q164" s="363">
        <f>AVERAGE(K164:P164)</f>
        <v>17817.511348579177</v>
      </c>
      <c r="R164" s="198"/>
      <c r="S164"/>
      <c r="T164"/>
      <c r="U164"/>
      <c r="V164"/>
      <c r="W164" s="173"/>
      <c r="X164" s="344"/>
      <c r="Y164" s="189"/>
      <c r="Z164" s="173"/>
      <c r="AA164" s="173"/>
      <c r="AB164" s="173"/>
      <c r="AC164" s="173"/>
      <c r="AD164" s="173"/>
      <c r="AE164" s="173"/>
      <c r="AF164" s="173"/>
      <c r="AG164" s="173"/>
    </row>
    <row r="165" spans="2:33" s="345" customFormat="1" ht="15" x14ac:dyDescent="0.25">
      <c r="B165" s="219" t="s">
        <v>548</v>
      </c>
      <c r="C165" s="344"/>
      <c r="D165" s="196"/>
      <c r="E165" s="203"/>
      <c r="F165" s="203"/>
      <c r="G165" s="203"/>
      <c r="H165" s="203"/>
      <c r="I165" s="204"/>
      <c r="J165" s="175"/>
      <c r="K165" s="366">
        <f>K164-K157</f>
        <v>241.09477518883068</v>
      </c>
      <c r="L165" s="366">
        <f t="shared" ref="L165:P165" si="139">L164-L157</f>
        <v>305.84334952269819</v>
      </c>
      <c r="M165" s="366">
        <f t="shared" si="139"/>
        <v>-348.0999860322263</v>
      </c>
      <c r="N165" s="366">
        <f t="shared" si="139"/>
        <v>-1382.8257918930576</v>
      </c>
      <c r="O165" s="366">
        <f t="shared" si="139"/>
        <v>-2851.1772073863285</v>
      </c>
      <c r="P165" s="366">
        <f t="shared" si="139"/>
        <v>-4823.5049766719312</v>
      </c>
      <c r="Q165" s="365">
        <f>Q158-Q164</f>
        <v>-17817.150196644438</v>
      </c>
      <c r="R165" s="198"/>
      <c r="S165"/>
      <c r="T165"/>
      <c r="U165"/>
      <c r="V165"/>
      <c r="W165" s="173"/>
      <c r="X165" s="344"/>
      <c r="Y165" s="189"/>
      <c r="Z165" s="173"/>
      <c r="AA165" s="173"/>
      <c r="AB165" s="173"/>
      <c r="AC165" s="173"/>
      <c r="AD165" s="173"/>
      <c r="AE165" s="173"/>
      <c r="AF165" s="173"/>
      <c r="AG165" s="173"/>
    </row>
    <row r="166" spans="2:33" x14ac:dyDescent="0.25">
      <c r="D166" s="223"/>
      <c r="E166" s="223"/>
      <c r="F166" s="223"/>
      <c r="G166" s="223"/>
      <c r="H166" s="223"/>
      <c r="I166" s="223"/>
      <c r="J166" s="247"/>
      <c r="K166" s="261"/>
      <c r="L166" s="261"/>
      <c r="M166" s="261"/>
      <c r="Q166" s="261"/>
      <c r="Z166" s="173"/>
      <c r="AA166" s="173"/>
      <c r="AB166" s="173"/>
      <c r="AC166" s="173"/>
      <c r="AD166" s="173"/>
      <c r="AE166" s="173"/>
      <c r="AF166" s="173"/>
      <c r="AG166" s="173"/>
    </row>
    <row r="167" spans="2:33" x14ac:dyDescent="0.25">
      <c r="B167" s="419" t="s">
        <v>263</v>
      </c>
      <c r="C167" s="419"/>
      <c r="D167" s="249">
        <f>INDEX(Table1691017[CONTENT ASSETS], MATCH(D41, Table1691017[Year], 0))</f>
        <v>10975.393</v>
      </c>
      <c r="E167" s="249">
        <f>INDEX(Table1691017[CONTENT ASSETS], MATCH(E41, Table1691017[Year], 0))</f>
        <v>14668.688</v>
      </c>
      <c r="F167" s="249">
        <f>INDEX(Table1691017[CONTENT ASSETS], MATCH(F41, Table1691017[Year], 0))</f>
        <v>20102.327000000001</v>
      </c>
      <c r="G167" s="249">
        <f>INDEX(Table1691017[CONTENT ASSETS], MATCH(G41, Table1691017[Year], 0))</f>
        <v>24504.566999999999</v>
      </c>
      <c r="H167" s="249">
        <f>INDEX(Table1691017[CONTENT ASSETS], MATCH(H41, Table1691017[Year], 0))</f>
        <v>25383.95</v>
      </c>
      <c r="I167" s="249">
        <f>INDEX(Table1691017[CONTENT ASSETS], MATCH(I41, Table1691017[Year], 0))</f>
        <v>30919.539000000001</v>
      </c>
      <c r="J167" s="207">
        <f>I167</f>
        <v>30919.539000000001</v>
      </c>
      <c r="K167" s="239">
        <f>$J$169*K181</f>
        <v>36884.343638181148</v>
      </c>
      <c r="L167" s="239">
        <f>$J$169*L181</f>
        <v>40556.535540022007</v>
      </c>
      <c r="M167" s="239">
        <f t="shared" ref="M167:P167" si="140">$J$169*M181</f>
        <v>46081.237095923694</v>
      </c>
      <c r="N167" s="239">
        <f t="shared" si="140"/>
        <v>52531.38030935343</v>
      </c>
      <c r="O167" s="239">
        <f t="shared" si="140"/>
        <v>60025.747695313774</v>
      </c>
      <c r="P167" s="239">
        <f t="shared" si="140"/>
        <v>68725.190858057977</v>
      </c>
      <c r="Q167" s="202">
        <f>P167</f>
        <v>68725.190858057977</v>
      </c>
      <c r="Z167" s="173"/>
      <c r="AA167" s="173"/>
      <c r="AB167" s="173"/>
      <c r="AC167" s="173"/>
      <c r="AD167" s="173"/>
      <c r="AE167" s="173"/>
      <c r="AF167" s="173"/>
      <c r="AG167" s="173"/>
    </row>
    <row r="168" spans="2:33" x14ac:dyDescent="0.25">
      <c r="B168" s="168" t="s">
        <v>252</v>
      </c>
      <c r="D168" s="223">
        <f t="shared" ref="D168:I168" si="141">D167/D$46</f>
        <v>1.2428256143132148</v>
      </c>
      <c r="E168" s="223">
        <f t="shared" si="141"/>
        <v>1.2545153549907537</v>
      </c>
      <c r="F168" s="223">
        <f t="shared" si="141"/>
        <v>1.2727825123464607</v>
      </c>
      <c r="G168" s="223">
        <f t="shared" si="141"/>
        <v>1.2157455348283388</v>
      </c>
      <c r="H168" s="223">
        <f t="shared" si="141"/>
        <v>1.0155204832773244</v>
      </c>
      <c r="I168" s="223">
        <f t="shared" si="141"/>
        <v>1.0411320290928683</v>
      </c>
      <c r="J168" s="247">
        <f>AVERAGE(D168:I168)</f>
        <v>1.1737535881414933</v>
      </c>
      <c r="K168" s="288">
        <f t="shared" ref="K168:P168" si="142">K167/K$46</f>
        <v>1.1016684798177359</v>
      </c>
      <c r="L168" s="288">
        <f t="shared" si="142"/>
        <v>1.0322553004431141</v>
      </c>
      <c r="M168" s="288">
        <f t="shared" si="142"/>
        <v>0.94554164548561093</v>
      </c>
      <c r="N168" s="288">
        <f t="shared" si="142"/>
        <v>0.91260085199780439</v>
      </c>
      <c r="O168" s="288">
        <f t="shared" si="142"/>
        <v>0.88171847638954626</v>
      </c>
      <c r="P168" s="288">
        <f t="shared" si="142"/>
        <v>0.85190889384788582</v>
      </c>
      <c r="Q168" s="209">
        <f>AVERAGE(K168:P168)</f>
        <v>0.95428227466361637</v>
      </c>
      <c r="Z168" s="173"/>
      <c r="AA168" s="173"/>
      <c r="AB168" s="173"/>
      <c r="AC168" s="173"/>
      <c r="AD168" s="173"/>
      <c r="AE168" s="173"/>
      <c r="AF168" s="173"/>
      <c r="AG168" s="173"/>
    </row>
    <row r="169" spans="2:33" x14ac:dyDescent="0.25">
      <c r="B169" s="168" t="s">
        <v>268</v>
      </c>
      <c r="D169" s="223">
        <f t="shared" ref="D169:I169" si="143">D167/D181</f>
        <v>0.97772906480868871</v>
      </c>
      <c r="E169" s="223">
        <f t="shared" si="143"/>
        <v>0.97871586331394145</v>
      </c>
      <c r="F169" s="223">
        <f t="shared" si="143"/>
        <v>0.97962995424000798</v>
      </c>
      <c r="G169" s="223">
        <f t="shared" si="143"/>
        <v>0.97746271405485385</v>
      </c>
      <c r="H169" s="223">
        <f t="shared" si="143"/>
        <v>0.96355899551889523</v>
      </c>
      <c r="I169" s="223">
        <f t="shared" si="143"/>
        <v>0.95896725130734894</v>
      </c>
      <c r="J169" s="247">
        <v>1.06</v>
      </c>
      <c r="K169" s="288">
        <f t="shared" ref="K169:P169" si="144">K167/K$46</f>
        <v>1.1016684798177359</v>
      </c>
      <c r="L169" s="288">
        <f t="shared" si="144"/>
        <v>1.0322553004431141</v>
      </c>
      <c r="M169" s="288">
        <f t="shared" si="144"/>
        <v>0.94554164548561093</v>
      </c>
      <c r="N169" s="288">
        <f t="shared" si="144"/>
        <v>0.91260085199780439</v>
      </c>
      <c r="O169" s="288">
        <f t="shared" si="144"/>
        <v>0.88171847638954626</v>
      </c>
      <c r="P169" s="288">
        <f t="shared" si="144"/>
        <v>0.85190889384788582</v>
      </c>
      <c r="Q169" s="209">
        <f>AVERAGE(K169:P169)</f>
        <v>0.95428227466361637</v>
      </c>
      <c r="Z169" s="173"/>
      <c r="AA169" s="173"/>
      <c r="AB169" s="173"/>
      <c r="AC169" s="173"/>
      <c r="AD169" s="173"/>
      <c r="AE169" s="173"/>
      <c r="AF169" s="173"/>
      <c r="AG169" s="173"/>
    </row>
    <row r="170" spans="2:33" x14ac:dyDescent="0.25">
      <c r="B170" s="168" t="s">
        <v>267</v>
      </c>
      <c r="D170" s="223"/>
      <c r="E170" s="223">
        <f>E167/D167-1</f>
        <v>0.33650685674763547</v>
      </c>
      <c r="F170" s="223">
        <f t="shared" ref="F170:H170" si="145">F167/E167-1</f>
        <v>0.37042433515526407</v>
      </c>
      <c r="G170" s="223">
        <f t="shared" si="145"/>
        <v>0.21899156251910523</v>
      </c>
      <c r="H170" s="223">
        <f t="shared" si="145"/>
        <v>3.588649413801126E-2</v>
      </c>
      <c r="I170" s="223">
        <f>I167/H167-1</f>
        <v>0.21807437376767602</v>
      </c>
      <c r="J170" s="247">
        <f>AVERAGE(D170:I170)</f>
        <v>0.23597672446553841</v>
      </c>
      <c r="K170" s="288">
        <f t="shared" ref="K170:P170" si="146">K167/J167-1</f>
        <v>0.19291376362956592</v>
      </c>
      <c r="L170" s="288">
        <f t="shared" si="146"/>
        <v>9.9559638036762044E-2</v>
      </c>
      <c r="M170" s="288">
        <f t="shared" si="146"/>
        <v>0.13622222614280743</v>
      </c>
      <c r="N170" s="288">
        <f t="shared" si="146"/>
        <v>0.13997330844228384</v>
      </c>
      <c r="O170" s="288">
        <f t="shared" si="146"/>
        <v>0.14266458147161876</v>
      </c>
      <c r="P170" s="288">
        <f t="shared" si="146"/>
        <v>0.14492852645338017</v>
      </c>
      <c r="Q170" s="209">
        <f>AVERAGE(K170:P170)</f>
        <v>0.14271034069606969</v>
      </c>
      <c r="Z170" s="173"/>
      <c r="AA170" s="173"/>
      <c r="AB170" s="173"/>
      <c r="AC170" s="173"/>
      <c r="AD170" s="173"/>
      <c r="AE170" s="173"/>
      <c r="AF170" s="173"/>
      <c r="AG170" s="173"/>
    </row>
    <row r="171" spans="2:33" s="345" customFormat="1" ht="15" x14ac:dyDescent="0.25">
      <c r="B171" s="219" t="s">
        <v>549</v>
      </c>
      <c r="C171" s="344"/>
      <c r="D171" s="196"/>
      <c r="E171" s="196"/>
      <c r="F171" s="196"/>
      <c r="G171" s="196"/>
      <c r="H171" s="196"/>
      <c r="I171" s="196"/>
      <c r="J171" s="232"/>
      <c r="K171" s="367">
        <f>INDEX(Table30[Forecast], MATCH(K41, Table30[Timeline], 0))</f>
        <v>34104.429092722661</v>
      </c>
      <c r="L171" s="367">
        <f>INDEX(Table30[Forecast], MATCH(L41, Table30[Timeline], 0))</f>
        <v>37959.621723836768</v>
      </c>
      <c r="M171" s="367">
        <f>INDEX(Table30[Forecast], MATCH(M41, Table30[Timeline], 0))</f>
        <v>41814.814354950882</v>
      </c>
      <c r="N171" s="367">
        <f>INDEX(Table30[Forecast], MATCH(N41, Table30[Timeline], 0))</f>
        <v>45670.006986064989</v>
      </c>
      <c r="O171" s="367">
        <f>INDEX(Table30[Forecast], MATCH(O41, Table30[Timeline], 0))</f>
        <v>49525.199617179096</v>
      </c>
      <c r="P171" s="367">
        <f>INDEX(Table30[Forecast], MATCH(P41, Table30[Timeline], 0))</f>
        <v>53380.39224829321</v>
      </c>
      <c r="Q171" s="363">
        <f>AVERAGE(K171:P171)</f>
        <v>43742.410670507932</v>
      </c>
      <c r="R171" s="198"/>
      <c r="S171"/>
      <c r="T171"/>
      <c r="U171"/>
      <c r="V171"/>
      <c r="W171" s="173"/>
      <c r="X171" s="344"/>
      <c r="Y171" s="189"/>
      <c r="Z171" s="173"/>
      <c r="AA171" s="173"/>
      <c r="AB171" s="173"/>
      <c r="AC171" s="173"/>
      <c r="AD171" s="173"/>
      <c r="AE171" s="173"/>
      <c r="AF171" s="173"/>
      <c r="AG171" s="173"/>
    </row>
    <row r="172" spans="2:33" s="345" customFormat="1" ht="15" x14ac:dyDescent="0.25">
      <c r="B172" s="219" t="s">
        <v>548</v>
      </c>
      <c r="C172" s="344"/>
      <c r="D172" s="196"/>
      <c r="E172" s="203"/>
      <c r="F172" s="203"/>
      <c r="G172" s="203"/>
      <c r="H172" s="203"/>
      <c r="I172" s="204"/>
      <c r="J172" s="175"/>
      <c r="K172" s="366">
        <f>K171-K167</f>
        <v>-2779.9145454584868</v>
      </c>
      <c r="L172" s="366">
        <f t="shared" ref="L172:P172" si="147">L171-L167</f>
        <v>-2596.9138161852388</v>
      </c>
      <c r="M172" s="366">
        <f t="shared" si="147"/>
        <v>-4266.4227409728119</v>
      </c>
      <c r="N172" s="366">
        <f t="shared" si="147"/>
        <v>-6861.3733232884406</v>
      </c>
      <c r="O172" s="366">
        <f t="shared" si="147"/>
        <v>-10500.548078134678</v>
      </c>
      <c r="P172" s="366">
        <f t="shared" si="147"/>
        <v>-15344.798609764766</v>
      </c>
      <c r="Q172" s="365">
        <f>Q165-Q171</f>
        <v>-61559.560867152366</v>
      </c>
      <c r="R172" s="198"/>
      <c r="S172"/>
      <c r="T172"/>
      <c r="U172"/>
      <c r="V172"/>
      <c r="W172" s="173"/>
      <c r="X172" s="344"/>
      <c r="Y172" s="189"/>
      <c r="Z172" s="173"/>
      <c r="AA172" s="173"/>
      <c r="AB172" s="173"/>
      <c r="AC172" s="173"/>
      <c r="AD172" s="173"/>
      <c r="AE172" s="173"/>
      <c r="AF172" s="173"/>
      <c r="AG172" s="173"/>
    </row>
    <row r="173" spans="2:33" x14ac:dyDescent="0.2">
      <c r="D173" s="223"/>
      <c r="E173" s="223"/>
      <c r="F173" s="223"/>
      <c r="G173" s="223"/>
      <c r="H173" s="223"/>
      <c r="I173" s="223"/>
      <c r="J173" s="175"/>
      <c r="K173" s="175"/>
      <c r="L173" s="175"/>
      <c r="M173" s="175"/>
      <c r="N173" s="175"/>
      <c r="O173" s="175"/>
      <c r="P173" s="175"/>
      <c r="Q173" s="175"/>
      <c r="Z173" s="173"/>
      <c r="AA173" s="173"/>
      <c r="AB173" s="173"/>
      <c r="AC173" s="173"/>
      <c r="AD173" s="173"/>
      <c r="AE173" s="173"/>
      <c r="AF173" s="173"/>
      <c r="AG173" s="173"/>
    </row>
    <row r="174" spans="2:33" s="173" customFormat="1" x14ac:dyDescent="0.25">
      <c r="B174" s="419" t="s">
        <v>264</v>
      </c>
      <c r="C174" s="419"/>
      <c r="D174" s="249">
        <f>INDEX(Table169[PP&amp;E], MATCH('DCF Model'!D$41, Table169[Year], 0))</f>
        <v>250</v>
      </c>
      <c r="E174" s="249">
        <f>INDEX(Table169[PP&amp;E], MATCH('DCF Model'!E$41, Table169[Year], 0))</f>
        <v>319</v>
      </c>
      <c r="F174" s="249">
        <f>INDEX(Table169[PP&amp;E], MATCH('DCF Model'!F$41, Table169[Year], 0))</f>
        <v>418</v>
      </c>
      <c r="G174" s="249">
        <f>INDEX(Table169[PP&amp;E], MATCH('DCF Model'!G$41, Table169[Year], 0))</f>
        <v>565</v>
      </c>
      <c r="H174" s="249">
        <f>INDEX(Table169[PP&amp;E], MATCH('DCF Model'!H$41, Table169[Year], 0))</f>
        <v>960</v>
      </c>
      <c r="I174" s="249">
        <f>INDEX(Table169[PP&amp;E], MATCH('DCF Model'!I$41, Table169[Year], 0))</f>
        <v>1323</v>
      </c>
      <c r="J174" s="207">
        <f>I174</f>
        <v>1323</v>
      </c>
      <c r="K174" s="239">
        <f>$J$176*K181</f>
        <v>1809.4206313069997</v>
      </c>
      <c r="L174" s="239">
        <f t="shared" ref="L174:P174" si="148">$J$176*L181</f>
        <v>1989.5658944161737</v>
      </c>
      <c r="M174" s="239">
        <f t="shared" si="148"/>
        <v>2260.5889896113508</v>
      </c>
      <c r="N174" s="239">
        <f t="shared" si="148"/>
        <v>2577.0111095154512</v>
      </c>
      <c r="O174" s="239">
        <f t="shared" si="148"/>
        <v>2944.6593209021848</v>
      </c>
      <c r="P174" s="239">
        <f t="shared" si="148"/>
        <v>3371.4244571877498</v>
      </c>
      <c r="Q174" s="202">
        <f>P174</f>
        <v>3371.4244571877498</v>
      </c>
    </row>
    <row r="175" spans="2:33" x14ac:dyDescent="0.25">
      <c r="B175" s="168" t="s">
        <v>252</v>
      </c>
      <c r="D175" s="223">
        <f t="shared" ref="D175:I175" si="149">D174/D$46</f>
        <v>2.8309364737855284E-2</v>
      </c>
      <c r="E175" s="223">
        <f t="shared" si="149"/>
        <v>2.7281949022438162E-2</v>
      </c>
      <c r="F175" s="223">
        <f t="shared" si="149"/>
        <v>2.6465746486007344E-2</v>
      </c>
      <c r="G175" s="223">
        <f t="shared" si="149"/>
        <v>2.8031355427664217E-2</v>
      </c>
      <c r="H175" s="223">
        <f t="shared" si="149"/>
        <v>3.8406144983197311E-2</v>
      </c>
      <c r="I175" s="223">
        <f t="shared" si="149"/>
        <v>4.4548454441376527E-2</v>
      </c>
      <c r="J175" s="247">
        <f>AVERAGE(D175:I175)</f>
        <v>3.2173835849756478E-2</v>
      </c>
      <c r="K175" s="288">
        <f t="shared" ref="K175" si="150">K174/K$46</f>
        <v>5.4044114104266287E-2</v>
      </c>
      <c r="L175" s="288">
        <f t="shared" ref="L175" si="151">L174/L$46</f>
        <v>5.0638939267020691E-2</v>
      </c>
      <c r="M175" s="288">
        <f t="shared" ref="M175" si="152">M174/M$46</f>
        <v>4.6385061854011096E-2</v>
      </c>
      <c r="N175" s="288">
        <f t="shared" ref="N175" si="153">N174/N$46</f>
        <v>4.4769098399892286E-2</v>
      </c>
      <c r="O175" s="288">
        <f t="shared" ref="O175" si="154">O174/O$46</f>
        <v>4.3254113936090945E-2</v>
      </c>
      <c r="P175" s="288">
        <f t="shared" ref="P175" si="155">P174/P$46</f>
        <v>4.1791757056688743E-2</v>
      </c>
      <c r="Q175" s="209">
        <f>AVERAGE(K175:P175)</f>
        <v>4.6813847436328333E-2</v>
      </c>
      <c r="Z175" s="173"/>
      <c r="AA175" s="173"/>
      <c r="AB175" s="173"/>
      <c r="AC175" s="173"/>
      <c r="AD175" s="173"/>
      <c r="AE175" s="173"/>
      <c r="AF175" s="173"/>
      <c r="AG175" s="173"/>
    </row>
    <row r="176" spans="2:33" s="173" customFormat="1" x14ac:dyDescent="0.25">
      <c r="B176" s="168" t="s">
        <v>268</v>
      </c>
      <c r="C176" s="168"/>
      <c r="D176" s="223">
        <f t="shared" ref="D176:I176" si="156">D174/D181</f>
        <v>2.227093519131134E-2</v>
      </c>
      <c r="E176" s="223">
        <f t="shared" si="156"/>
        <v>2.1284136686058584E-2</v>
      </c>
      <c r="F176" s="223">
        <f t="shared" si="156"/>
        <v>2.0370045759992031E-2</v>
      </c>
      <c r="G176" s="223">
        <f t="shared" si="156"/>
        <v>2.253728594514616E-2</v>
      </c>
      <c r="H176" s="223">
        <f t="shared" si="156"/>
        <v>3.6441004481104766E-2</v>
      </c>
      <c r="I176" s="223">
        <f t="shared" si="156"/>
        <v>4.1032748692651035E-2</v>
      </c>
      <c r="J176" s="247">
        <v>5.1999999999999998E-2</v>
      </c>
      <c r="K176" s="288">
        <f t="shared" ref="K176:P176" si="157">K174/K181</f>
        <v>5.1999999999999998E-2</v>
      </c>
      <c r="L176" s="288">
        <f t="shared" si="157"/>
        <v>5.1999999999999998E-2</v>
      </c>
      <c r="M176" s="288">
        <f t="shared" si="157"/>
        <v>5.1999999999999998E-2</v>
      </c>
      <c r="N176" s="288">
        <f t="shared" si="157"/>
        <v>5.1999999999999998E-2</v>
      </c>
      <c r="O176" s="288">
        <f t="shared" si="157"/>
        <v>5.1999999999999998E-2</v>
      </c>
      <c r="P176" s="288">
        <f t="shared" si="157"/>
        <v>5.1999999999999998E-2</v>
      </c>
      <c r="Q176" s="209">
        <f>AVERAGE(K176:P176)</f>
        <v>5.1999999999999998E-2</v>
      </c>
      <c r="S176" s="262"/>
      <c r="T176" s="262"/>
      <c r="U176" s="262"/>
    </row>
    <row r="177" spans="2:33" s="173" customFormat="1" x14ac:dyDescent="0.25">
      <c r="B177" s="168" t="s">
        <v>267</v>
      </c>
      <c r="C177" s="168"/>
      <c r="D177" s="223"/>
      <c r="E177" s="223">
        <f>E174/D174-1</f>
        <v>0.27600000000000002</v>
      </c>
      <c r="F177" s="223">
        <f t="shared" ref="F177:H177" si="158">F174/E174-1</f>
        <v>0.31034482758620685</v>
      </c>
      <c r="G177" s="223">
        <f t="shared" si="158"/>
        <v>0.35167464114832536</v>
      </c>
      <c r="H177" s="223">
        <f t="shared" si="158"/>
        <v>0.69911504424778759</v>
      </c>
      <c r="I177" s="223">
        <f>I174/H174-1</f>
        <v>0.37812500000000004</v>
      </c>
      <c r="J177" s="247">
        <f>AVERAGE(D177:I177)</f>
        <v>0.40305190259646401</v>
      </c>
      <c r="K177" s="288">
        <f>K174/J174-1</f>
        <v>0.3676648762713528</v>
      </c>
      <c r="L177" s="288">
        <f t="shared" ref="L177:P177" si="159">L174/K174-1</f>
        <v>9.9559638036761822E-2</v>
      </c>
      <c r="M177" s="288">
        <f t="shared" si="159"/>
        <v>0.13622222614280743</v>
      </c>
      <c r="N177" s="288">
        <f t="shared" si="159"/>
        <v>0.13997330844228384</v>
      </c>
      <c r="O177" s="288">
        <f t="shared" si="159"/>
        <v>0.14266458147161876</v>
      </c>
      <c r="P177" s="288">
        <f t="shared" si="159"/>
        <v>0.14492852645338017</v>
      </c>
      <c r="Q177" s="209">
        <f>AVERAGE(K177:P177)</f>
        <v>0.17183552613636746</v>
      </c>
    </row>
    <row r="178" spans="2:33" s="345" customFormat="1" ht="15" x14ac:dyDescent="0.25">
      <c r="B178" s="219" t="s">
        <v>549</v>
      </c>
      <c r="C178" s="344"/>
      <c r="D178" s="196"/>
      <c r="E178" s="196"/>
      <c r="F178" s="196"/>
      <c r="G178" s="196"/>
      <c r="H178" s="196"/>
      <c r="I178" s="196"/>
      <c r="J178" s="232"/>
      <c r="K178" s="367">
        <f>INDEX(Table31[Forecast], MATCH(K41, Table31[Timeline], 0))</f>
        <v>1535.4010775691258</v>
      </c>
      <c r="L178" s="367">
        <f>INDEX(Table31[Forecast], MATCH(L41, Table31[Timeline], 0))</f>
        <v>1762.945721684463</v>
      </c>
      <c r="M178" s="367">
        <f>INDEX(Table31[Forecast], MATCH(M41, Table31[Timeline], 0))</f>
        <v>1990.4903657998002</v>
      </c>
      <c r="N178" s="367">
        <f>INDEX(Table31[Forecast], MATCH(N41, Table31[Timeline], 0))</f>
        <v>2218.0350099151374</v>
      </c>
      <c r="O178" s="367">
        <f>INDEX(Table31[Forecast], MATCH(O41, Table31[Timeline], 0))</f>
        <v>2445.5796540304746</v>
      </c>
      <c r="P178" s="367">
        <f>INDEX(Table31[Forecast], MATCH(P41, Table31[Timeline], 0))</f>
        <v>2673.1242981458113</v>
      </c>
      <c r="Q178" s="363">
        <f>AVERAGE(K178:P178)</f>
        <v>2104.2626878574688</v>
      </c>
      <c r="R178" s="198"/>
      <c r="S178"/>
      <c r="T178"/>
      <c r="U178"/>
      <c r="V178"/>
      <c r="W178" s="173"/>
      <c r="X178" s="344"/>
      <c r="Y178" s="189"/>
      <c r="Z178" s="173"/>
      <c r="AA178" s="173"/>
      <c r="AB178" s="173"/>
      <c r="AC178" s="173"/>
      <c r="AD178" s="173"/>
      <c r="AE178" s="173"/>
      <c r="AF178" s="173"/>
      <c r="AG178" s="173"/>
    </row>
    <row r="179" spans="2:33" s="345" customFormat="1" ht="15" x14ac:dyDescent="0.25">
      <c r="B179" s="219" t="s">
        <v>548</v>
      </c>
      <c r="C179" s="344"/>
      <c r="D179" s="196"/>
      <c r="E179" s="203"/>
      <c r="F179" s="203"/>
      <c r="G179" s="203"/>
      <c r="H179" s="203"/>
      <c r="I179" s="204"/>
      <c r="J179" s="175"/>
      <c r="K179" s="366">
        <f>K178-K174</f>
        <v>-274.01955373787382</v>
      </c>
      <c r="L179" s="366">
        <f t="shared" ref="L179:P179" si="160">L178-L174</f>
        <v>-226.62017273171068</v>
      </c>
      <c r="M179" s="366">
        <f t="shared" si="160"/>
        <v>-270.09862381155062</v>
      </c>
      <c r="N179" s="366">
        <f t="shared" si="160"/>
        <v>-358.97609960031377</v>
      </c>
      <c r="O179" s="366">
        <f t="shared" si="160"/>
        <v>-499.07966687171029</v>
      </c>
      <c r="P179" s="366">
        <f t="shared" si="160"/>
        <v>-698.30015904193851</v>
      </c>
      <c r="Q179" s="365">
        <f>Q172-Q178</f>
        <v>-63663.823555009832</v>
      </c>
      <c r="R179" s="198"/>
      <c r="S179"/>
      <c r="T179"/>
      <c r="U179"/>
      <c r="V179"/>
      <c r="W179" s="173"/>
      <c r="X179" s="344"/>
      <c r="Y179" s="189"/>
      <c r="Z179" s="173"/>
      <c r="AA179" s="173"/>
      <c r="AB179" s="173"/>
      <c r="AC179" s="173"/>
      <c r="AD179" s="173"/>
      <c r="AE179" s="173"/>
      <c r="AF179" s="173"/>
      <c r="AG179" s="173"/>
    </row>
    <row r="180" spans="2:33" s="173" customFormat="1" x14ac:dyDescent="0.2">
      <c r="B180" s="168"/>
      <c r="C180" s="168"/>
      <c r="D180" s="223"/>
      <c r="E180" s="223"/>
      <c r="F180" s="223"/>
      <c r="G180" s="223"/>
      <c r="H180" s="223"/>
      <c r="I180" s="223"/>
      <c r="J180" s="247"/>
      <c r="K180" s="175"/>
      <c r="L180" s="175"/>
      <c r="M180" s="175"/>
      <c r="N180" s="175"/>
      <c r="O180" s="175"/>
      <c r="P180" s="175"/>
      <c r="Q180" s="175"/>
    </row>
    <row r="181" spans="2:33" s="173" customFormat="1" ht="15" thickBot="1" x14ac:dyDescent="0.3">
      <c r="B181" s="263" t="s">
        <v>317</v>
      </c>
      <c r="C181" s="168"/>
      <c r="D181" s="200">
        <f t="shared" ref="D181:I181" si="161">SUM(D174,D167)</f>
        <v>11225.393</v>
      </c>
      <c r="E181" s="200">
        <f t="shared" si="161"/>
        <v>14987.688</v>
      </c>
      <c r="F181" s="200">
        <f t="shared" si="161"/>
        <v>20520.327000000001</v>
      </c>
      <c r="G181" s="200">
        <f t="shared" si="161"/>
        <v>25069.566999999999</v>
      </c>
      <c r="H181" s="200">
        <f t="shared" si="161"/>
        <v>26343.95</v>
      </c>
      <c r="I181" s="200">
        <f t="shared" si="161"/>
        <v>32242.539000000001</v>
      </c>
      <c r="J181" s="264">
        <f>I181</f>
        <v>32242.539000000001</v>
      </c>
      <c r="K181" s="200">
        <f t="shared" ref="K181:P181" si="162">J181+K183-K157</f>
        <v>34796.550602057687</v>
      </c>
      <c r="L181" s="200">
        <f t="shared" si="162"/>
        <v>38260.882584926418</v>
      </c>
      <c r="M181" s="200">
        <f t="shared" si="162"/>
        <v>43472.865184833674</v>
      </c>
      <c r="N181" s="200">
        <f t="shared" si="162"/>
        <v>49557.905952220215</v>
      </c>
      <c r="O181" s="200">
        <f t="shared" si="162"/>
        <v>56628.063863503558</v>
      </c>
      <c r="P181" s="200">
        <f t="shared" si="162"/>
        <v>64835.085715149035</v>
      </c>
      <c r="Q181" s="265">
        <f>AVERAGE(K181:P181)</f>
        <v>47925.225650448432</v>
      </c>
      <c r="S181" s="262"/>
      <c r="T181" s="262"/>
      <c r="U181" s="262"/>
    </row>
    <row r="182" spans="2:33" x14ac:dyDescent="0.25">
      <c r="D182" s="223"/>
      <c r="E182" s="223"/>
      <c r="F182" s="223"/>
      <c r="G182" s="223"/>
      <c r="H182" s="223"/>
      <c r="I182" s="249"/>
      <c r="J182" s="247"/>
      <c r="K182" s="261"/>
      <c r="L182" s="261"/>
      <c r="M182" s="261"/>
      <c r="Q182" s="261"/>
      <c r="Z182" s="173"/>
      <c r="AA182" s="173"/>
      <c r="AB182" s="173"/>
      <c r="AC182" s="173"/>
      <c r="AD182" s="173"/>
      <c r="AE182" s="173"/>
      <c r="AF182" s="173"/>
      <c r="AG182" s="173"/>
    </row>
    <row r="183" spans="2:33" x14ac:dyDescent="0.25">
      <c r="B183" s="419" t="s">
        <v>259</v>
      </c>
      <c r="C183" s="419"/>
      <c r="D183" s="266"/>
      <c r="E183" s="266">
        <f>E181-D181+E157</f>
        <v>10032.295</v>
      </c>
      <c r="F183" s="266">
        <f>F181-E181+F157</f>
        <v>13147.639000000001</v>
      </c>
      <c r="G183" s="266">
        <f>G181-F181+G157</f>
        <v>13869.239999999998</v>
      </c>
      <c r="H183" s="266">
        <f>H181-G181+H157</f>
        <v>12197.383000000002</v>
      </c>
      <c r="I183" s="266">
        <f>I181-H181+I157</f>
        <v>18337.589</v>
      </c>
      <c r="J183" s="266">
        <f>AVERAGE(E183:I183)</f>
        <v>13516.829200000002</v>
      </c>
      <c r="K183" s="239" cm="1">
        <f t="array" ref="K183">K$46*(_xlfn.SWITCH($G$24, "Conservative", K186, "Base", K187, "Optimistic", K188, K187))</f>
        <v>16289.508081835451</v>
      </c>
      <c r="L183" s="239" cm="1">
        <f t="array" ref="L183">L$46*(_xlfn.SWITCH($G$24, "Conservative", L186, "Base", L187, "Optimistic", L188, L187))</f>
        <v>18671.447925757664</v>
      </c>
      <c r="M183" s="239" cm="1">
        <f t="array" ref="M183">M$46*(_xlfn.SWITCH($G$24, "Conservative", M186, "Base", M187, "Optimistic", M188, M187))</f>
        <v>22609.409915796146</v>
      </c>
      <c r="N183" s="239" cm="1">
        <f t="array" ref="N183">N$46*(_xlfn.SWITCH($G$24, "Conservative", N186, "Base", N187, "Optimistic", N188, N187))</f>
        <v>26053.561926581289</v>
      </c>
      <c r="O183" s="239" cm="1">
        <f t="array" ref="O183">O$46*(_xlfn.SWITCH($G$24, "Conservative", O186, "Base", O187, "Optimistic", O188, O187))</f>
        <v>30043.398523416403</v>
      </c>
      <c r="P183" s="239" cm="1">
        <f t="array" ref="P183">P$46*(_xlfn.SWITCH($G$24, "Conservative", P186, "Base", P187, "Optimistic", P188, P187))</f>
        <v>34688.95827050916</v>
      </c>
      <c r="Q183" s="235">
        <f>AVERAGE(K183:P183)</f>
        <v>24726.047440649349</v>
      </c>
      <c r="Z183" s="173"/>
      <c r="AA183" s="173"/>
      <c r="AB183" s="173"/>
      <c r="AC183" s="173"/>
      <c r="AD183" s="173"/>
      <c r="AE183" s="173"/>
      <c r="AF183" s="173"/>
      <c r="AG183" s="173"/>
    </row>
    <row r="184" spans="2:33" x14ac:dyDescent="0.25">
      <c r="B184" s="168" t="s">
        <v>252</v>
      </c>
      <c r="D184" s="223"/>
      <c r="E184" s="223">
        <f>E183/E$46</f>
        <v>0.85799548830113248</v>
      </c>
      <c r="F184" s="223">
        <f>F183/F$46</f>
        <v>0.83244516905153865</v>
      </c>
      <c r="G184" s="223">
        <f>G183/G$46</f>
        <v>0.68809486009128784</v>
      </c>
      <c r="H184" s="223">
        <f>H183/H$46</f>
        <v>0.48797339574331899</v>
      </c>
      <c r="I184" s="223">
        <f>I183/I$46</f>
        <v>0.61746881944912113</v>
      </c>
      <c r="J184" s="247">
        <f>AVERAGE(G184:I184)</f>
        <v>0.59784569176124258</v>
      </c>
      <c r="K184" s="288">
        <f t="shared" ref="K184" si="163">K183/K$46</f>
        <v>0.4865380764677022</v>
      </c>
      <c r="L184" s="288">
        <f t="shared" ref="L184" si="164">L183/L$46</f>
        <v>0.47523046117416173</v>
      </c>
      <c r="M184" s="288">
        <f t="shared" ref="M184" si="165">M183/M$46</f>
        <v>0.46392284588062127</v>
      </c>
      <c r="N184" s="288">
        <f t="shared" ref="N184" si="166">N183/N$46</f>
        <v>0.45261523058708086</v>
      </c>
      <c r="O184" s="288">
        <f t="shared" ref="O184" si="167">O183/O$46</f>
        <v>0.44130761529354046</v>
      </c>
      <c r="P184" s="288">
        <f t="shared" ref="P184" si="168">P183/P$46</f>
        <v>0.43</v>
      </c>
      <c r="Q184" s="289">
        <f>AVERAGE(K184:P184)</f>
        <v>0.45826903823385118</v>
      </c>
      <c r="Z184" s="173"/>
      <c r="AA184" s="173"/>
      <c r="AB184" s="173"/>
      <c r="AC184" s="173"/>
      <c r="AD184" s="173"/>
      <c r="AE184" s="173"/>
      <c r="AF184" s="173"/>
      <c r="AG184" s="173"/>
    </row>
    <row r="185" spans="2:33" x14ac:dyDescent="0.25">
      <c r="B185" s="168" t="s">
        <v>267</v>
      </c>
      <c r="D185" s="223"/>
      <c r="E185" s="223"/>
      <c r="F185" s="223">
        <f t="shared" ref="F185:H185" si="169">F183/E183-1</f>
        <v>0.31053153839674774</v>
      </c>
      <c r="G185" s="223">
        <f t="shared" si="169"/>
        <v>5.488445492000471E-2</v>
      </c>
      <c r="H185" s="223">
        <f t="shared" si="169"/>
        <v>-0.1205442403477045</v>
      </c>
      <c r="I185" s="223">
        <f>I183/H183-1</f>
        <v>0.50340355795993275</v>
      </c>
      <c r="J185" s="247">
        <f>AVERAGE(D185:I185)</f>
        <v>0.18706882773224517</v>
      </c>
      <c r="K185" s="288">
        <f>K183/I183-1</f>
        <v>-0.11168757889407099</v>
      </c>
      <c r="L185" s="288">
        <f>L183/K183-1</f>
        <v>0.14622540054345357</v>
      </c>
      <c r="M185" s="288">
        <f t="shared" ref="M185:O185" si="170">M183/L183-1</f>
        <v>0.21090822766915562</v>
      </c>
      <c r="N185" s="288">
        <f t="shared" si="170"/>
        <v>0.15233268022527535</v>
      </c>
      <c r="O185" s="288">
        <f t="shared" si="170"/>
        <v>0.15313977444153082</v>
      </c>
      <c r="P185" s="288">
        <f>P183/O183-1</f>
        <v>0.15462830356798407</v>
      </c>
      <c r="Q185" s="289">
        <f>AVERAGE(K185:P185)</f>
        <v>0.11759113459222141</v>
      </c>
      <c r="Z185" s="173"/>
      <c r="AA185" s="173"/>
      <c r="AB185" s="173"/>
      <c r="AC185" s="173"/>
      <c r="AD185" s="173"/>
      <c r="AE185" s="173"/>
      <c r="AF185" s="173"/>
      <c r="AG185" s="173"/>
    </row>
    <row r="186" spans="2:33" x14ac:dyDescent="0.25">
      <c r="B186" s="186" t="s">
        <v>114</v>
      </c>
      <c r="D186" s="223"/>
      <c r="E186" s="223"/>
      <c r="F186" s="223"/>
      <c r="G186" s="223"/>
      <c r="H186" s="223"/>
      <c r="I186" s="223"/>
      <c r="J186" s="247">
        <f>J187</f>
        <v>0.4978456917612426</v>
      </c>
      <c r="K186" s="212">
        <f t="shared" ref="K186:P186" si="171">J186-(J186-$Q186)/($Q$41-K$41)</f>
        <v>0.48820474313436885</v>
      </c>
      <c r="L186" s="212">
        <f t="shared" si="171"/>
        <v>0.47856379450749509</v>
      </c>
      <c r="M186" s="212">
        <f t="shared" si="171"/>
        <v>0.46892284588062133</v>
      </c>
      <c r="N186" s="212">
        <f t="shared" si="171"/>
        <v>0.45928189725374757</v>
      </c>
      <c r="O186" s="212">
        <f t="shared" si="171"/>
        <v>0.44964094862687376</v>
      </c>
      <c r="P186" s="212">
        <f t="shared" si="171"/>
        <v>0.44</v>
      </c>
      <c r="Q186" s="293">
        <v>0.44</v>
      </c>
      <c r="R186" s="302"/>
      <c r="Z186" s="173"/>
      <c r="AA186" s="173"/>
      <c r="AB186" s="173"/>
      <c r="AC186" s="173"/>
      <c r="AD186" s="173"/>
      <c r="AE186" s="173"/>
      <c r="AF186" s="173"/>
      <c r="AG186" s="173"/>
    </row>
    <row r="187" spans="2:33" x14ac:dyDescent="0.25">
      <c r="B187" s="186" t="s">
        <v>115</v>
      </c>
      <c r="D187" s="223"/>
      <c r="E187" s="223"/>
      <c r="F187" s="223"/>
      <c r="G187" s="223"/>
      <c r="H187" s="223"/>
      <c r="I187" s="223"/>
      <c r="J187" s="247">
        <f>J184-10%</f>
        <v>0.4978456917612426</v>
      </c>
      <c r="K187" s="212">
        <f t="shared" ref="K187:P187" si="172">J187-(J187-$Q187)/($Q$41-K$41)</f>
        <v>0.4865380764677022</v>
      </c>
      <c r="L187" s="212">
        <f t="shared" si="172"/>
        <v>0.47523046117416173</v>
      </c>
      <c r="M187" s="212">
        <f t="shared" si="172"/>
        <v>0.46392284588062127</v>
      </c>
      <c r="N187" s="212">
        <f t="shared" si="172"/>
        <v>0.45261523058708086</v>
      </c>
      <c r="O187" s="212">
        <f t="shared" si="172"/>
        <v>0.44130761529354046</v>
      </c>
      <c r="P187" s="212">
        <f t="shared" si="172"/>
        <v>0.43</v>
      </c>
      <c r="Q187" s="293">
        <v>0.43</v>
      </c>
      <c r="Z187" s="173"/>
      <c r="AA187" s="173"/>
      <c r="AB187" s="173"/>
      <c r="AC187" s="173"/>
      <c r="AD187" s="173"/>
      <c r="AE187" s="173"/>
      <c r="AF187" s="173"/>
      <c r="AG187" s="173"/>
    </row>
    <row r="188" spans="2:33" x14ac:dyDescent="0.25">
      <c r="B188" s="186" t="s">
        <v>116</v>
      </c>
      <c r="D188" s="223"/>
      <c r="E188" s="223"/>
      <c r="F188" s="223"/>
      <c r="G188" s="223"/>
      <c r="H188" s="223"/>
      <c r="I188" s="223"/>
      <c r="J188" s="247">
        <f>J187</f>
        <v>0.4978456917612426</v>
      </c>
      <c r="K188" s="212">
        <f t="shared" ref="K188:P188" si="173">J188-(J188-$Q188)/($Q$41-K$41)</f>
        <v>0.48487140980103549</v>
      </c>
      <c r="L188" s="212">
        <f t="shared" si="173"/>
        <v>0.47189712784082838</v>
      </c>
      <c r="M188" s="212">
        <f t="shared" si="173"/>
        <v>0.45892284588062127</v>
      </c>
      <c r="N188" s="212">
        <f t="shared" si="173"/>
        <v>0.44594856392041415</v>
      </c>
      <c r="O188" s="212">
        <f t="shared" si="173"/>
        <v>0.43297428196020704</v>
      </c>
      <c r="P188" s="212">
        <f t="shared" si="173"/>
        <v>0.42</v>
      </c>
      <c r="Q188" s="293">
        <v>0.42</v>
      </c>
      <c r="Z188" s="173"/>
      <c r="AA188" s="173"/>
      <c r="AB188" s="173"/>
      <c r="AC188" s="173"/>
      <c r="AD188" s="173"/>
      <c r="AE188" s="173"/>
      <c r="AF188" s="173"/>
      <c r="AG188" s="173"/>
    </row>
    <row r="189" spans="2:33" s="345" customFormat="1" ht="15" x14ac:dyDescent="0.25">
      <c r="B189" s="219" t="s">
        <v>549</v>
      </c>
      <c r="C189" s="344"/>
      <c r="D189" s="196"/>
      <c r="E189" s="196"/>
      <c r="F189" s="196"/>
      <c r="G189" s="196"/>
      <c r="H189" s="196"/>
      <c r="I189" s="196"/>
      <c r="J189" s="232"/>
      <c r="K189" s="367">
        <f>INDEX(Table32[Forecast], MATCH(K41, Table32[Timeline], 0))</f>
        <v>15922.245670974962</v>
      </c>
      <c r="L189" s="367">
        <f>INDEX(Table32[Forecast], MATCH(L41, Table32[Timeline], 0))</f>
        <v>16278.758391267829</v>
      </c>
      <c r="M189" s="367">
        <f>INDEX(Table32[Forecast], MATCH(M41, Table32[Timeline], 0))</f>
        <v>17740.974876205571</v>
      </c>
      <c r="N189" s="367">
        <f>INDEX(Table32[Forecast], MATCH(N41, Table32[Timeline], 0))</f>
        <v>18097.487596498442</v>
      </c>
      <c r="O189" s="367">
        <f>INDEX(Table32[Forecast], MATCH(O41, Table32[Timeline], 0))</f>
        <v>19559.704081436183</v>
      </c>
      <c r="P189" s="367">
        <f>INDEX(Table32[Forecast], MATCH(P41, Table32[Timeline], 0))</f>
        <v>19916.216801729053</v>
      </c>
      <c r="Q189" s="363">
        <f>AVERAGE(K189:P189)</f>
        <v>17919.231236352007</v>
      </c>
      <c r="R189" s="198"/>
      <c r="S189"/>
      <c r="T189"/>
      <c r="U189"/>
      <c r="V189"/>
      <c r="W189" s="173"/>
      <c r="X189" s="344"/>
      <c r="Y189" s="189"/>
      <c r="Z189" s="173"/>
      <c r="AA189" s="173"/>
      <c r="AB189" s="173"/>
      <c r="AC189" s="173"/>
      <c r="AD189" s="173"/>
      <c r="AE189" s="173"/>
      <c r="AF189" s="173"/>
      <c r="AG189" s="173"/>
    </row>
    <row r="190" spans="2:33" s="345" customFormat="1" ht="15" x14ac:dyDescent="0.25">
      <c r="B190" s="219" t="s">
        <v>548</v>
      </c>
      <c r="C190" s="344"/>
      <c r="D190" s="196"/>
      <c r="E190" s="203"/>
      <c r="F190" s="203"/>
      <c r="G190" s="203"/>
      <c r="H190" s="203"/>
      <c r="I190" s="204"/>
      <c r="J190" s="175"/>
      <c r="K190" s="366">
        <f>K189-K183</f>
        <v>-367.26241086048867</v>
      </c>
      <c r="L190" s="366">
        <f t="shared" ref="L190:P190" si="174">L189-L183</f>
        <v>-2392.6895344898348</v>
      </c>
      <c r="M190" s="366">
        <f t="shared" si="174"/>
        <v>-4868.4350395905749</v>
      </c>
      <c r="N190" s="366">
        <f t="shared" si="174"/>
        <v>-7956.0743300828472</v>
      </c>
      <c r="O190" s="366">
        <f t="shared" si="174"/>
        <v>-10483.69444198022</v>
      </c>
      <c r="P190" s="366">
        <f t="shared" si="174"/>
        <v>-14772.741468780107</v>
      </c>
      <c r="Q190" s="365">
        <f>Q183-Q189</f>
        <v>6806.8162042973418</v>
      </c>
      <c r="R190" s="198"/>
      <c r="S190"/>
      <c r="T190"/>
      <c r="U190"/>
      <c r="V190"/>
      <c r="W190" s="173"/>
      <c r="X190" s="344"/>
      <c r="Y190" s="189"/>
      <c r="Z190" s="173"/>
      <c r="AA190" s="173"/>
      <c r="AB190" s="173"/>
      <c r="AC190" s="173"/>
      <c r="AD190" s="173"/>
      <c r="AE190" s="173"/>
      <c r="AF190" s="173"/>
      <c r="AG190" s="173"/>
    </row>
    <row r="191" spans="2:33" x14ac:dyDescent="0.25">
      <c r="D191" s="267"/>
      <c r="E191" s="267"/>
      <c r="F191" s="267"/>
      <c r="G191" s="267"/>
      <c r="H191" s="267"/>
      <c r="I191" s="267"/>
      <c r="J191" s="267"/>
      <c r="K191" s="173"/>
      <c r="L191" s="173"/>
      <c r="M191" s="173"/>
      <c r="N191" s="173"/>
      <c r="O191" s="173"/>
      <c r="P191" s="173"/>
      <c r="Q191" s="202"/>
      <c r="Z191" s="173"/>
      <c r="AA191" s="173"/>
      <c r="AB191" s="173"/>
      <c r="AC191" s="173"/>
      <c r="AD191" s="173"/>
      <c r="AE191" s="173"/>
      <c r="AF191" s="173"/>
      <c r="AG191" s="173"/>
    </row>
    <row r="192" spans="2:33" x14ac:dyDescent="0.25">
      <c r="D192" s="267"/>
      <c r="E192" s="267"/>
      <c r="F192" s="267"/>
      <c r="G192" s="267"/>
      <c r="H192" s="267"/>
      <c r="I192" s="267"/>
      <c r="J192" s="267"/>
      <c r="K192" s="173"/>
      <c r="L192" s="173"/>
      <c r="M192" s="173"/>
      <c r="N192" s="173"/>
      <c r="O192" s="173"/>
      <c r="P192" s="173"/>
      <c r="Q192" s="202"/>
      <c r="Z192" s="173"/>
      <c r="AA192" s="173"/>
      <c r="AB192" s="173"/>
      <c r="AC192" s="173"/>
      <c r="AD192" s="173"/>
      <c r="AE192" s="173"/>
      <c r="AF192" s="173"/>
      <c r="AG192" s="173"/>
    </row>
    <row r="193" spans="2:33" x14ac:dyDescent="0.25">
      <c r="B193" s="419" t="s">
        <v>260</v>
      </c>
      <c r="C193" s="419"/>
      <c r="D193" s="268">
        <f>INDEX(Table169101116[DELTA NWC], MATCH(D41, Table169101116[Year], 0))</f>
        <v>-769</v>
      </c>
      <c r="E193" s="268">
        <f>INDEX(Table169101116[DELTA NWC], MATCH(E41, Table169101116[Year], 0))</f>
        <v>1071</v>
      </c>
      <c r="F193" s="268">
        <f>INDEX(Table169101116[DELTA NWC], MATCH(F41, Table169101116[Year], 0))</f>
        <v>1003</v>
      </c>
      <c r="G193" s="268">
        <f>INDEX(Table169101116[DELTA NWC], MATCH(G41, Table169101116[Year], 0))</f>
        <v>-3884</v>
      </c>
      <c r="H193" s="268">
        <f>INDEX(Table169101116[DELTA NWC], MATCH(H41, Table169101116[Year], 0))</f>
        <v>2633</v>
      </c>
      <c r="I193" s="268">
        <f>INDEX(Table169101116[DELTA NWC], MATCH(I41, Table169101116[Year], 0))</f>
        <v>-2375</v>
      </c>
      <c r="J193" s="268">
        <f>AVERAGE(D193:I193)</f>
        <v>-386.83333333333331</v>
      </c>
      <c r="K193" s="239" cm="1">
        <f t="array" ref="K193">K$46*(_xlfn.SWITCH($G$23, "Conservative", K196, "Base", K197, "Optimistic", K198, K197))</f>
        <v>-433.90087025887942</v>
      </c>
      <c r="L193" s="239" cm="1">
        <f t="array" ref="L193">L$46*(_xlfn.SWITCH($G$23, "Conservative", L196, "Base", L197, "Optimistic", L198, L197))</f>
        <v>-368.0564171507632</v>
      </c>
      <c r="M193" s="239" cm="1">
        <f t="array" ref="M193">M$46*(_xlfn.SWITCH($G$23, "Conservative", M196, "Base", M197, "Optimistic", M198, M197))</f>
        <v>-281.49007830971487</v>
      </c>
      <c r="N193" s="239" cm="1">
        <f t="array" ref="N193">N$46*(_xlfn.SWITCH($G$23, "Conservative", N196, "Base", N197, "Optimistic", N198, N197))</f>
        <v>-125.7121477211966</v>
      </c>
      <c r="O193" s="239" cm="1">
        <f t="array" ref="O193">O$46*(_xlfn.SWITCH($G$23, "Conservative", O196, "Base", O197, "Optimistic", O198, O197))</f>
        <v>95.856293083060251</v>
      </c>
      <c r="P193" s="239" cm="1">
        <f t="array" ref="P193">P$46*(_xlfn.SWITCH($G$23, "Conservative", P196, "Base", P197, "Optimistic", P198, P197))</f>
        <v>403.35997988964141</v>
      </c>
      <c r="Q193" s="235">
        <f>P193</f>
        <v>403.35997988964141</v>
      </c>
      <c r="Z193" s="173"/>
      <c r="AA193" s="173"/>
      <c r="AB193" s="173"/>
      <c r="AC193" s="173"/>
      <c r="AD193" s="173"/>
      <c r="AE193" s="173"/>
      <c r="AF193" s="173"/>
      <c r="AG193" s="173"/>
    </row>
    <row r="194" spans="2:33" x14ac:dyDescent="0.25">
      <c r="B194" s="168" t="s">
        <v>252</v>
      </c>
      <c r="D194" s="223">
        <f>D193/D$46</f>
        <v>-8.7079605933642848E-2</v>
      </c>
      <c r="E194" s="223">
        <f t="shared" ref="E194:I194" si="175">E193/E$46</f>
        <v>9.1595509100411518E-2</v>
      </c>
      <c r="F194" s="223">
        <f t="shared" si="175"/>
        <v>6.3505128529821445E-2</v>
      </c>
      <c r="G194" s="223">
        <f t="shared" si="175"/>
        <v>-0.19269696368327049</v>
      </c>
      <c r="H194" s="223">
        <f t="shared" si="175"/>
        <v>0.10533685389662346</v>
      </c>
      <c r="I194" s="223">
        <f t="shared" si="175"/>
        <v>-7.9971715267021348E-2</v>
      </c>
      <c r="J194" s="247">
        <f>AVERAGE(D194:I194)</f>
        <v>-1.6551798892846376E-2</v>
      </c>
      <c r="K194" s="288">
        <f>K193/K$46</f>
        <v>-1.2959832410705313E-2</v>
      </c>
      <c r="L194" s="288">
        <f t="shared" ref="L194:P194" si="176">L193/L$46</f>
        <v>-9.3678659285642493E-3</v>
      </c>
      <c r="M194" s="288">
        <f t="shared" si="176"/>
        <v>-5.7758994464231867E-3</v>
      </c>
      <c r="N194" s="288">
        <f t="shared" si="176"/>
        <v>-2.1839329642821246E-3</v>
      </c>
      <c r="O194" s="288">
        <f t="shared" si="176"/>
        <v>1.408033517858938E-3</v>
      </c>
      <c r="P194" s="288">
        <f t="shared" si="176"/>
        <v>5.0000000000000001E-3</v>
      </c>
      <c r="Q194" s="289">
        <f>AVERAGE(K194:P194)</f>
        <v>-3.9799162053526559E-3</v>
      </c>
      <c r="Z194" s="173"/>
      <c r="AA194" s="173"/>
      <c r="AB194" s="173"/>
      <c r="AC194" s="173"/>
      <c r="AD194" s="173"/>
      <c r="AE194" s="173"/>
      <c r="AF194" s="173"/>
      <c r="AG194" s="173"/>
    </row>
    <row r="195" spans="2:33" x14ac:dyDescent="0.25">
      <c r="B195" s="168" t="s">
        <v>267</v>
      </c>
      <c r="D195" s="223"/>
      <c r="E195" s="223"/>
      <c r="F195" s="223">
        <f t="shared" ref="F195:H195" si="177">F193/E193-1</f>
        <v>-6.3492063492063489E-2</v>
      </c>
      <c r="G195" s="223">
        <f t="shared" si="177"/>
        <v>-4.8723828514456624</v>
      </c>
      <c r="H195" s="223">
        <f t="shared" si="177"/>
        <v>-1.6779093717816684</v>
      </c>
      <c r="I195" s="223">
        <f>I193/H193-1</f>
        <v>-1.9020129130269654</v>
      </c>
      <c r="J195" s="247">
        <f>AVERAGE(D195:I195)</f>
        <v>-2.1289492999365898</v>
      </c>
      <c r="K195" s="288">
        <f>K193/I193-1</f>
        <v>-0.81730489673310336</v>
      </c>
      <c r="L195" s="288">
        <f>L193/K193-1</f>
        <v>-0.15174999088808294</v>
      </c>
      <c r="M195" s="288">
        <f t="shared" ref="M195:O195" si="178">M193/L193-1</f>
        <v>-0.23519855871875484</v>
      </c>
      <c r="N195" s="288">
        <f t="shared" si="178"/>
        <v>-0.55340469377794776</v>
      </c>
      <c r="O195" s="288">
        <f t="shared" si="178"/>
        <v>-1.7625062081959619</v>
      </c>
      <c r="P195" s="288">
        <f>P193/O193-1</f>
        <v>3.2079655588196667</v>
      </c>
      <c r="Q195" s="289">
        <f>AVERAGE(K195:P195)</f>
        <v>-5.2033131582364035E-2</v>
      </c>
      <c r="Z195" s="173"/>
      <c r="AA195" s="173"/>
      <c r="AB195" s="173"/>
      <c r="AC195" s="173"/>
      <c r="AD195" s="173"/>
      <c r="AE195" s="173"/>
      <c r="AF195" s="173"/>
      <c r="AG195" s="173"/>
    </row>
    <row r="196" spans="2:33" x14ac:dyDescent="0.25">
      <c r="B196" s="186" t="s">
        <v>114</v>
      </c>
      <c r="D196" s="223"/>
      <c r="E196" s="223"/>
      <c r="F196" s="223"/>
      <c r="G196" s="223"/>
      <c r="H196" s="223"/>
      <c r="I196" s="223"/>
      <c r="J196" s="247">
        <f>J194</f>
        <v>-1.6551798892846376E-2</v>
      </c>
      <c r="K196" s="212">
        <f t="shared" ref="K196:P196" si="179">J196-(J196-$Q196)/($Q$41-K$41)</f>
        <v>-1.1293165744038648E-2</v>
      </c>
      <c r="L196" s="212">
        <f t="shared" si="179"/>
        <v>-6.0345325952309179E-3</v>
      </c>
      <c r="M196" s="212">
        <f t="shared" si="179"/>
        <v>-7.7589944642318838E-4</v>
      </c>
      <c r="N196" s="212">
        <f t="shared" si="179"/>
        <v>4.4827337023845403E-3</v>
      </c>
      <c r="O196" s="212">
        <f t="shared" si="179"/>
        <v>9.7413668511922707E-3</v>
      </c>
      <c r="P196" s="212">
        <f t="shared" si="179"/>
        <v>1.4999999999999999E-2</v>
      </c>
      <c r="Q196" s="293">
        <v>1.4999999999999999E-2</v>
      </c>
      <c r="Z196" s="173"/>
      <c r="AA196" s="173"/>
      <c r="AB196" s="173"/>
      <c r="AC196" s="173"/>
      <c r="AD196" s="173"/>
      <c r="AE196" s="173"/>
      <c r="AF196" s="173"/>
      <c r="AG196" s="173"/>
    </row>
    <row r="197" spans="2:33" x14ac:dyDescent="0.25">
      <c r="B197" s="186" t="s">
        <v>115</v>
      </c>
      <c r="D197" s="223"/>
      <c r="E197" s="223"/>
      <c r="F197" s="223"/>
      <c r="G197" s="223"/>
      <c r="H197" s="223"/>
      <c r="I197" s="223"/>
      <c r="J197" s="247">
        <f>J196</f>
        <v>-1.6551798892846376E-2</v>
      </c>
      <c r="K197" s="212">
        <f t="shared" ref="K197:P197" si="180">J197-(J197-$Q197)/($Q$41-K$41)</f>
        <v>-1.2959832410705313E-2</v>
      </c>
      <c r="L197" s="212">
        <f t="shared" si="180"/>
        <v>-9.3678659285642493E-3</v>
      </c>
      <c r="M197" s="212">
        <f t="shared" si="180"/>
        <v>-5.7758994464231867E-3</v>
      </c>
      <c r="N197" s="212">
        <f t="shared" si="180"/>
        <v>-2.1839329642821246E-3</v>
      </c>
      <c r="O197" s="212">
        <f t="shared" si="180"/>
        <v>1.408033517858938E-3</v>
      </c>
      <c r="P197" s="212">
        <f t="shared" si="180"/>
        <v>5.0000000000000001E-3</v>
      </c>
      <c r="Q197" s="293">
        <v>5.0000000000000001E-3</v>
      </c>
      <c r="Z197" s="173"/>
      <c r="AA197" s="173"/>
      <c r="AB197" s="173"/>
      <c r="AC197" s="173"/>
      <c r="AD197" s="173"/>
      <c r="AE197" s="173"/>
      <c r="AF197" s="173"/>
      <c r="AG197" s="173"/>
    </row>
    <row r="198" spans="2:33" x14ac:dyDescent="0.25">
      <c r="B198" s="186" t="s">
        <v>116</v>
      </c>
      <c r="D198" s="223"/>
      <c r="E198" s="223"/>
      <c r="F198" s="223"/>
      <c r="G198" s="223"/>
      <c r="H198" s="223"/>
      <c r="I198" s="223"/>
      <c r="J198" s="247">
        <f>J197</f>
        <v>-1.6551798892846376E-2</v>
      </c>
      <c r="K198" s="212">
        <f t="shared" ref="K198:P198" si="181">J198-(J198-$Q198)/($Q$41-K$41)</f>
        <v>-1.6293165744038648E-2</v>
      </c>
      <c r="L198" s="212">
        <f t="shared" si="181"/>
        <v>-1.6034532595230917E-2</v>
      </c>
      <c r="M198" s="212">
        <f t="shared" si="181"/>
        <v>-1.5775899446423186E-2</v>
      </c>
      <c r="N198" s="212">
        <f t="shared" si="181"/>
        <v>-1.5517266297615457E-2</v>
      </c>
      <c r="O198" s="212">
        <f t="shared" si="181"/>
        <v>-1.5258633148807727E-2</v>
      </c>
      <c r="P198" s="212">
        <f t="shared" si="181"/>
        <v>-1.4999999999999999E-2</v>
      </c>
      <c r="Q198" s="293">
        <v>-1.4999999999999999E-2</v>
      </c>
      <c r="Z198" s="173"/>
      <c r="AA198" s="173"/>
      <c r="AB198" s="173"/>
      <c r="AC198" s="173"/>
      <c r="AD198" s="173"/>
      <c r="AE198" s="173"/>
      <c r="AF198" s="173"/>
      <c r="AG198" s="173"/>
    </row>
    <row r="199" spans="2:33" ht="15" thickBot="1" x14ac:dyDescent="0.3">
      <c r="D199" s="172"/>
      <c r="E199" s="172"/>
      <c r="F199" s="172"/>
      <c r="G199" s="172"/>
      <c r="H199" s="172"/>
      <c r="I199" s="172"/>
      <c r="J199" s="172"/>
      <c r="K199" s="172"/>
      <c r="L199" s="172"/>
      <c r="M199" s="172"/>
      <c r="Q199" s="172"/>
      <c r="Z199" s="173"/>
      <c r="AA199" s="173"/>
      <c r="AB199" s="173"/>
      <c r="AC199" s="173"/>
      <c r="AD199" s="173"/>
      <c r="AE199" s="173"/>
      <c r="AF199" s="173"/>
      <c r="AG199" s="173"/>
    </row>
    <row r="200" spans="2:33" ht="15" thickBot="1" x14ac:dyDescent="0.3">
      <c r="B200" s="199" t="s">
        <v>247</v>
      </c>
      <c r="C200" s="186"/>
      <c r="D200" s="269"/>
      <c r="E200" s="270">
        <f>E155+E157-E183-E193</f>
        <v>-3920.616</v>
      </c>
      <c r="F200" s="270">
        <f>F155+F157-F183-F193</f>
        <v>-4946.2160000000022</v>
      </c>
      <c r="G200" s="270">
        <f>G155+G157-G183-G193</f>
        <v>1743.9290000000037</v>
      </c>
      <c r="H200" s="270">
        <f>H155+H157-H183-H193</f>
        <v>239.76899999999841</v>
      </c>
      <c r="I200" s="270">
        <f>I155+I157-I183-I193</f>
        <v>1946.6440000000002</v>
      </c>
      <c r="J200" s="270">
        <f>I200</f>
        <v>1946.6440000000002</v>
      </c>
      <c r="K200" s="271">
        <f>K$155+K$157-K$183-K$193</f>
        <v>1918.40270987953</v>
      </c>
      <c r="L200" s="271">
        <f t="shared" ref="L200:P200" si="182">L$155+L$157-L$183-L$193</f>
        <v>2110.2896102569412</v>
      </c>
      <c r="M200" s="271">
        <f t="shared" si="182"/>
        <v>2099.7858302453865</v>
      </c>
      <c r="N200" s="271">
        <f t="shared" si="182"/>
        <v>3010.5878503984986</v>
      </c>
      <c r="O200" s="271">
        <f t="shared" si="182"/>
        <v>4219.7118770449333</v>
      </c>
      <c r="P200" s="271">
        <f t="shared" si="182"/>
        <v>5789.5694505250922</v>
      </c>
      <c r="Q200" s="272">
        <f>P200</f>
        <v>5789.5694505250922</v>
      </c>
      <c r="Z200" s="173"/>
      <c r="AA200" s="173"/>
      <c r="AB200" s="173"/>
      <c r="AC200" s="173"/>
      <c r="AD200" s="173"/>
      <c r="AE200" s="173"/>
      <c r="AF200" s="173"/>
      <c r="AG200" s="173"/>
    </row>
    <row r="201" spans="2:33" x14ac:dyDescent="0.25">
      <c r="B201" s="168" t="s">
        <v>73</v>
      </c>
      <c r="D201" s="236">
        <f>INDEX(Table1[[#All],[YoY]], MATCH('DCF Model'!D41, Table1[[#All],[Year]], 0))</f>
        <v>0.8813593595736835</v>
      </c>
      <c r="E201" s="236">
        <f>INDEX(Table1[[#All],[YoY]],MATCH('DCF Model'!E41,Table1[[#All],[Year]],0))</f>
        <v>0.23874585872891421</v>
      </c>
      <c r="F201" s="236">
        <f>INDEX(Table1[[#All],[YoY]], MATCH('DCF Model'!F41, Table1[[#All],[Year]], 0))</f>
        <v>0.45689932372081143</v>
      </c>
      <c r="G201" s="236">
        <f>INDEX(Table1[[#All],[YoY]], MATCH('DCF Model'!G41, Table1[[#All],[Year]], 0))</f>
        <v>0.1001706119960904</v>
      </c>
      <c r="H201" s="236">
        <f>INDEX(Table1[[#All],[YoY]],MATCH('DCF Model'!H41,Table1[[#All],[Year]],0))</f>
        <v>1.6143085506120318</v>
      </c>
      <c r="I201" s="236">
        <f>INDEX(Table1[[#All],[YoY]], MATCH('DCF Model'!I41, Table1[[#All],[Year]], 0))</f>
        <v>-1.0684135500090715</v>
      </c>
      <c r="J201" s="247">
        <f>AVERAGE(D201:I201)</f>
        <v>0.3705116924370766</v>
      </c>
      <c r="K201" s="223">
        <f>K200/J200-1</f>
        <v>-1.4507680973239179E-2</v>
      </c>
      <c r="L201" s="223">
        <f t="shared" ref="L201:P201" si="183">L200/K200-1</f>
        <v>0.10002430636133797</v>
      </c>
      <c r="M201" s="223">
        <f t="shared" si="183"/>
        <v>-4.977411612369087E-3</v>
      </c>
      <c r="N201" s="223">
        <f t="shared" si="183"/>
        <v>0.43375948491216998</v>
      </c>
      <c r="O201" s="223">
        <f t="shared" si="183"/>
        <v>0.40162389763394146</v>
      </c>
      <c r="P201" s="223">
        <f t="shared" si="183"/>
        <v>0.37202956486676797</v>
      </c>
      <c r="Q201" s="289">
        <f>AVERAGE(K201:P201)</f>
        <v>0.21465869353143485</v>
      </c>
      <c r="Z201" s="173"/>
      <c r="AA201" s="173"/>
      <c r="AB201" s="173"/>
      <c r="AC201" s="173"/>
      <c r="AD201" s="173"/>
    </row>
    <row r="202" spans="2:33" x14ac:dyDescent="0.25">
      <c r="D202" s="236"/>
      <c r="E202" s="236"/>
      <c r="F202" s="236"/>
      <c r="G202" s="236"/>
      <c r="H202" s="236"/>
      <c r="I202" s="236"/>
      <c r="J202" s="247"/>
      <c r="K202" s="186"/>
      <c r="L202" s="186"/>
      <c r="M202" s="186"/>
      <c r="N202" s="186"/>
      <c r="Z202" s="173"/>
      <c r="AA202" s="173"/>
      <c r="AB202" s="173"/>
      <c r="AC202" s="173"/>
      <c r="AD202" s="173"/>
    </row>
    <row r="203" spans="2:33" x14ac:dyDescent="0.25">
      <c r="B203" s="168" t="s">
        <v>51</v>
      </c>
      <c r="J203" s="273">
        <f>-$J$212</f>
        <v>-84191.167999999991</v>
      </c>
      <c r="Q203" s="273" cm="1">
        <f t="array" ref="Q203">_xlfn.SWITCH($D$26, "Average", $V$43, "Min", $V$44, "Max", $V$45, $V$43)</f>
        <v>226328.03155164322</v>
      </c>
      <c r="Z203" s="173"/>
      <c r="AA203" s="173"/>
      <c r="AB203" s="173"/>
      <c r="AC203" s="173"/>
      <c r="AD203" s="173"/>
    </row>
    <row r="204" spans="2:33" x14ac:dyDescent="0.25">
      <c r="B204" s="199" t="s">
        <v>52</v>
      </c>
      <c r="C204" s="186"/>
      <c r="D204" s="186"/>
      <c r="E204" s="186"/>
      <c r="F204" s="186"/>
      <c r="G204" s="186"/>
      <c r="H204" s="186"/>
      <c r="I204" s="186"/>
      <c r="J204" s="274">
        <v>0</v>
      </c>
      <c r="K204" s="274">
        <f>(K200+K203)*K44</f>
        <v>1918.40270987953</v>
      </c>
      <c r="L204" s="274">
        <f>(L200+L203)*L44</f>
        <v>2110.2896102569412</v>
      </c>
      <c r="M204" s="274">
        <f t="shared" ref="M204:P204" si="184">(M200+M203)*M44</f>
        <v>2099.7858302453865</v>
      </c>
      <c r="N204" s="274">
        <f t="shared" si="184"/>
        <v>3010.5878503984986</v>
      </c>
      <c r="O204" s="274">
        <f t="shared" si="184"/>
        <v>4219.7118770449333</v>
      </c>
      <c r="P204" s="274">
        <f t="shared" si="184"/>
        <v>5789.5694505250922</v>
      </c>
      <c r="Q204" s="274">
        <f>Q203</f>
        <v>226328.03155164322</v>
      </c>
      <c r="Z204" s="173"/>
      <c r="AA204" s="173"/>
      <c r="AB204" s="173"/>
      <c r="AC204" s="173"/>
      <c r="AD204" s="173"/>
    </row>
    <row r="205" spans="2:33" ht="15" thickBot="1" x14ac:dyDescent="0.3">
      <c r="B205" s="274" t="s">
        <v>52</v>
      </c>
      <c r="C205" s="274"/>
      <c r="D205" s="275"/>
      <c r="E205" s="275"/>
      <c r="F205" s="275"/>
      <c r="G205" s="275"/>
      <c r="H205" s="275"/>
      <c r="I205" s="275"/>
      <c r="J205" s="275">
        <f>J203+J204</f>
        <v>-84191.167999999991</v>
      </c>
      <c r="K205" s="275">
        <f>(K203+K200)*K44</f>
        <v>1918.40270987953</v>
      </c>
      <c r="L205" s="275">
        <f t="shared" ref="L205:P205" si="185">(L203+L200)*L44</f>
        <v>2110.2896102569412</v>
      </c>
      <c r="M205" s="275">
        <f t="shared" si="185"/>
        <v>2099.7858302453865</v>
      </c>
      <c r="N205" s="275">
        <f t="shared" si="185"/>
        <v>3010.5878503984986</v>
      </c>
      <c r="O205" s="275">
        <f t="shared" si="185"/>
        <v>4219.7118770449333</v>
      </c>
      <c r="P205" s="275">
        <f t="shared" si="185"/>
        <v>5789.5694505250922</v>
      </c>
      <c r="Q205" s="275">
        <f>Q204</f>
        <v>226328.03155164322</v>
      </c>
      <c r="Z205" s="173"/>
      <c r="AA205" s="173"/>
      <c r="AB205" s="173"/>
      <c r="AC205" s="173"/>
      <c r="AD205" s="173"/>
    </row>
    <row r="206" spans="2:33" ht="15" thickTop="1" x14ac:dyDescent="0.25">
      <c r="X206" s="173"/>
      <c r="Z206" s="173"/>
      <c r="AA206" s="173"/>
      <c r="AB206" s="173"/>
      <c r="AC206" s="173"/>
      <c r="AD206" s="173"/>
    </row>
    <row r="207" spans="2:33" x14ac:dyDescent="0.25">
      <c r="M207" s="186"/>
      <c r="N207" s="186"/>
      <c r="Y207" s="173"/>
      <c r="Z207" s="173"/>
      <c r="AA207" s="173"/>
      <c r="AB207" s="173"/>
      <c r="AC207" s="173"/>
      <c r="AD207" s="173"/>
    </row>
    <row r="208" spans="2:33" ht="18" x14ac:dyDescent="0.2">
      <c r="B208" s="407" t="s">
        <v>53</v>
      </c>
      <c r="C208" s="407"/>
      <c r="D208" s="407"/>
      <c r="G208" s="407" t="s">
        <v>54</v>
      </c>
      <c r="H208" s="407"/>
      <c r="I208" s="407"/>
      <c r="J208" s="407"/>
      <c r="K208" s="173"/>
      <c r="L208" s="173"/>
      <c r="M208" s="173"/>
      <c r="S208" s="407" t="s">
        <v>55</v>
      </c>
      <c r="T208" s="407"/>
      <c r="U208" s="407"/>
      <c r="V208" s="407"/>
      <c r="W208" s="175"/>
      <c r="X208" s="173"/>
      <c r="Y208" s="173"/>
      <c r="Z208" s="173"/>
      <c r="AA208" s="173"/>
      <c r="AB208" s="173"/>
      <c r="AC208" s="173"/>
    </row>
    <row r="209" spans="1:29" x14ac:dyDescent="0.25">
      <c r="B209" s="186" t="s">
        <v>56</v>
      </c>
      <c r="C209" s="186"/>
      <c r="D209" s="185" cm="1">
        <f t="array" ref="D209">XNPV(_xlfn.SWITCH($D$24, "Conservative", $C$30, "Base", $G$30, "Optimistic", $K$30),$J$204:$Q$204,$J$42:$Q$42)</f>
        <v>152428.44895631642</v>
      </c>
      <c r="G209" s="186" t="s">
        <v>57</v>
      </c>
      <c r="H209" s="186"/>
      <c r="I209" s="186"/>
      <c r="J209" s="185">
        <f>D11*D10</f>
        <v>75525.899999999994</v>
      </c>
      <c r="K209" s="186"/>
      <c r="L209" s="186"/>
      <c r="S209" s="418" t="s">
        <v>58</v>
      </c>
      <c r="T209" s="418"/>
      <c r="U209" s="418"/>
      <c r="V209" s="223">
        <f>D214/J214-1</f>
        <v>0.9034951050741058</v>
      </c>
      <c r="Y209" s="173"/>
      <c r="Z209" s="173"/>
      <c r="AA209" s="173"/>
      <c r="AB209" s="173"/>
      <c r="AC209" s="173"/>
    </row>
    <row r="210" spans="1:29" x14ac:dyDescent="0.25">
      <c r="B210" s="168" t="s">
        <v>59</v>
      </c>
      <c r="D210" s="189">
        <f>+D13</f>
        <v>6027.8040000000001</v>
      </c>
      <c r="G210" s="168" t="s">
        <v>60</v>
      </c>
      <c r="J210" s="189">
        <f>D12</f>
        <v>14693.072</v>
      </c>
      <c r="M210" s="186"/>
      <c r="S210" s="415" t="s">
        <v>61</v>
      </c>
      <c r="T210" s="415"/>
      <c r="U210" s="415"/>
      <c r="V210" s="236">
        <f>XIRR(J205:Q205,J42:Q42)</f>
        <v>0.20231094956398007</v>
      </c>
      <c r="Y210" s="173"/>
      <c r="Z210" s="173"/>
      <c r="AA210" s="173"/>
      <c r="AB210" s="173"/>
      <c r="AC210" s="173"/>
    </row>
    <row r="211" spans="1:29" x14ac:dyDescent="0.25">
      <c r="B211" s="168" t="s">
        <v>62</v>
      </c>
      <c r="D211" s="189">
        <f>+D12</f>
        <v>14693.072</v>
      </c>
      <c r="G211" s="168" t="s">
        <v>63</v>
      </c>
      <c r="J211" s="189">
        <f>D13</f>
        <v>6027.8040000000001</v>
      </c>
      <c r="S211" s="168"/>
      <c r="T211" s="168"/>
      <c r="U211" s="168"/>
      <c r="V211" s="168"/>
      <c r="X211" s="173"/>
      <c r="Y211" s="173"/>
      <c r="Z211" s="173"/>
      <c r="AA211" s="173"/>
      <c r="AB211" s="173"/>
      <c r="AC211" s="173"/>
    </row>
    <row r="212" spans="1:29" ht="18" x14ac:dyDescent="0.2">
      <c r="B212" s="171" t="s">
        <v>64</v>
      </c>
      <c r="D212" s="193">
        <f>D209+D210-D211</f>
        <v>143763.18095631641</v>
      </c>
      <c r="G212" s="419" t="s">
        <v>56</v>
      </c>
      <c r="H212" s="419"/>
      <c r="J212" s="193">
        <f>J209+J210-J211</f>
        <v>84191.167999999991</v>
      </c>
      <c r="K212" s="186"/>
      <c r="L212" s="186"/>
      <c r="S212" s="407" t="s">
        <v>65</v>
      </c>
      <c r="T212" s="407"/>
      <c r="U212" s="407"/>
      <c r="V212" s="407"/>
      <c r="W212" s="175"/>
      <c r="X212" s="173"/>
      <c r="Y212" s="173"/>
      <c r="Z212" s="173"/>
      <c r="AA212" s="173"/>
      <c r="AB212" s="173"/>
      <c r="AC212" s="173"/>
    </row>
    <row r="213" spans="1:29" x14ac:dyDescent="0.25">
      <c r="J213" s="277"/>
      <c r="K213" s="277"/>
      <c r="L213" s="277"/>
      <c r="M213" s="186"/>
      <c r="S213" s="403" t="s">
        <v>90</v>
      </c>
      <c r="T213" s="403"/>
      <c r="U213" s="168"/>
      <c r="V213" s="278">
        <f>$J$214</f>
        <v>170</v>
      </c>
      <c r="X213" s="173"/>
      <c r="Y213" s="173"/>
      <c r="Z213" s="173"/>
      <c r="AA213" s="173"/>
      <c r="AB213" s="173"/>
      <c r="AC213" s="173"/>
    </row>
    <row r="214" spans="1:29" x14ac:dyDescent="0.25">
      <c r="B214" s="171" t="s">
        <v>66</v>
      </c>
      <c r="D214" s="279">
        <f>$D$212/$D$11</f>
        <v>323.594167862598</v>
      </c>
      <c r="G214" s="419" t="s">
        <v>66</v>
      </c>
      <c r="H214" s="419"/>
      <c r="J214" s="279">
        <f>$D$10</f>
        <v>170</v>
      </c>
      <c r="K214" s="277"/>
      <c r="L214" s="277"/>
      <c r="M214" s="277"/>
      <c r="S214" s="168" t="s">
        <v>318</v>
      </c>
      <c r="T214" s="168"/>
      <c r="U214" s="168"/>
      <c r="V214" s="278">
        <f>$D$214-$J$214</f>
        <v>153.594167862598</v>
      </c>
    </row>
    <row r="215" spans="1:29" x14ac:dyDescent="0.25">
      <c r="M215" s="277"/>
      <c r="S215" s="403" t="s">
        <v>91</v>
      </c>
      <c r="T215" s="403"/>
      <c r="U215" s="168"/>
      <c r="V215" s="278">
        <f>SUM($V$213:$V$214)</f>
        <v>323.594167862598</v>
      </c>
    </row>
    <row r="216" spans="1:29" x14ac:dyDescent="0.25">
      <c r="J216" s="171"/>
      <c r="K216" s="171"/>
      <c r="L216" s="171"/>
    </row>
    <row r="217" spans="1:29" x14ac:dyDescent="0.25">
      <c r="A217" s="167"/>
      <c r="B217" s="280"/>
      <c r="C217" s="166"/>
      <c r="D217" s="166"/>
      <c r="E217" s="166"/>
      <c r="F217" s="166"/>
      <c r="G217" s="166"/>
      <c r="H217" s="166"/>
      <c r="I217" s="166"/>
      <c r="J217" s="166"/>
      <c r="K217" s="166"/>
      <c r="L217" s="166"/>
      <c r="M217" s="166"/>
      <c r="N217" s="166"/>
      <c r="O217" s="166"/>
      <c r="P217" s="167"/>
      <c r="Q217" s="167"/>
      <c r="R217" s="167"/>
      <c r="S217" s="167"/>
      <c r="T217" s="167"/>
      <c r="U217" s="167"/>
      <c r="V217" s="167"/>
      <c r="W217" s="167"/>
    </row>
    <row r="218" spans="1:29" x14ac:dyDescent="0.25">
      <c r="A218" s="173"/>
      <c r="B218" s="173"/>
      <c r="C218" s="173"/>
      <c r="D218" s="173"/>
      <c r="E218" s="173"/>
      <c r="F218" s="173"/>
      <c r="G218" s="173"/>
      <c r="H218" s="173"/>
      <c r="I218" s="173"/>
      <c r="J218" s="173"/>
      <c r="K218" s="173"/>
      <c r="L218" s="173"/>
      <c r="M218" s="173"/>
      <c r="N218" s="173"/>
      <c r="O218" s="173"/>
      <c r="P218" s="173"/>
    </row>
    <row r="219" spans="1:29" ht="18" x14ac:dyDescent="0.25">
      <c r="A219" s="173"/>
      <c r="B219" s="309" t="s">
        <v>67</v>
      </c>
      <c r="C219" s="281"/>
      <c r="D219" s="281"/>
      <c r="E219" s="281"/>
      <c r="F219" s="281"/>
      <c r="G219" s="281"/>
      <c r="H219" s="281"/>
      <c r="I219" s="281"/>
      <c r="J219" s="281"/>
      <c r="K219" s="281"/>
      <c r="L219" s="281"/>
      <c r="M219" s="281"/>
      <c r="N219" s="281"/>
      <c r="O219" s="281"/>
      <c r="P219" s="281"/>
      <c r="Q219" s="281"/>
      <c r="R219" s="281"/>
      <c r="S219" s="281"/>
      <c r="T219" s="281"/>
      <c r="U219" s="281"/>
      <c r="V219" s="281"/>
    </row>
    <row r="220" spans="1:29" x14ac:dyDescent="0.25">
      <c r="B220" s="403" t="s">
        <v>68</v>
      </c>
      <c r="C220" s="403"/>
      <c r="D220" s="403"/>
      <c r="E220" s="403"/>
      <c r="F220" s="403"/>
      <c r="G220" s="403"/>
    </row>
    <row r="221" spans="1:29" x14ac:dyDescent="0.25">
      <c r="B221" s="403" t="s">
        <v>69</v>
      </c>
      <c r="C221" s="403"/>
      <c r="D221" s="403"/>
      <c r="E221" s="403"/>
      <c r="F221" s="403"/>
    </row>
    <row r="222" spans="1:29" x14ac:dyDescent="0.25">
      <c r="B222" s="403" t="s">
        <v>70</v>
      </c>
      <c r="C222" s="403"/>
      <c r="D222" s="403"/>
      <c r="E222" s="403"/>
      <c r="F222" s="403"/>
    </row>
    <row r="223" spans="1:29" x14ac:dyDescent="0.25">
      <c r="B223" s="403" t="s">
        <v>71</v>
      </c>
      <c r="C223" s="403"/>
      <c r="D223" s="403"/>
      <c r="E223" s="403"/>
      <c r="F223" s="403"/>
    </row>
    <row r="224" spans="1:29" x14ac:dyDescent="0.25">
      <c r="B224" s="403" t="s">
        <v>72</v>
      </c>
      <c r="C224" s="403"/>
      <c r="D224" s="403"/>
      <c r="E224" s="403"/>
      <c r="F224" s="403"/>
    </row>
  </sheetData>
  <mergeCells count="116">
    <mergeCell ref="B54:C54"/>
    <mergeCell ref="E36:F36"/>
    <mergeCell ref="I36:J36"/>
    <mergeCell ref="S40:V40"/>
    <mergeCell ref="M4:U4"/>
    <mergeCell ref="F4:K4"/>
    <mergeCell ref="I16:M16"/>
    <mergeCell ref="E35:F35"/>
    <mergeCell ref="I35:J35"/>
    <mergeCell ref="E17:F17"/>
    <mergeCell ref="E33:F33"/>
    <mergeCell ref="E34:F34"/>
    <mergeCell ref="I34:J34"/>
    <mergeCell ref="I33:J33"/>
    <mergeCell ref="E21:F21"/>
    <mergeCell ref="E20:F20"/>
    <mergeCell ref="E22:F22"/>
    <mergeCell ref="B10:C10"/>
    <mergeCell ref="B11:C11"/>
    <mergeCell ref="B12:C12"/>
    <mergeCell ref="B13:C13"/>
    <mergeCell ref="B17:C17"/>
    <mergeCell ref="E18:F18"/>
    <mergeCell ref="B22:C22"/>
    <mergeCell ref="B88:D88"/>
    <mergeCell ref="B102:D102"/>
    <mergeCell ref="B95:D95"/>
    <mergeCell ref="B98:C98"/>
    <mergeCell ref="B99:C99"/>
    <mergeCell ref="B100:C100"/>
    <mergeCell ref="B101:C101"/>
    <mergeCell ref="B60:C60"/>
    <mergeCell ref="B85:C85"/>
    <mergeCell ref="B86:C86"/>
    <mergeCell ref="B41:C41"/>
    <mergeCell ref="B47:D47"/>
    <mergeCell ref="B223:F223"/>
    <mergeCell ref="B224:F224"/>
    <mergeCell ref="S210:U210"/>
    <mergeCell ref="S209:U209"/>
    <mergeCell ref="S208:V208"/>
    <mergeCell ref="S212:V212"/>
    <mergeCell ref="S41:U41"/>
    <mergeCell ref="S42:U42"/>
    <mergeCell ref="G214:H214"/>
    <mergeCell ref="G212:H212"/>
    <mergeCell ref="B122:C122"/>
    <mergeCell ref="B131:C131"/>
    <mergeCell ref="B66:C66"/>
    <mergeCell ref="B193:C193"/>
    <mergeCell ref="B183:C183"/>
    <mergeCell ref="B167:C167"/>
    <mergeCell ref="B157:C157"/>
    <mergeCell ref="B174:C174"/>
    <mergeCell ref="B91:C91"/>
    <mergeCell ref="B92:C92"/>
    <mergeCell ref="B84:C84"/>
    <mergeCell ref="B78:D78"/>
    <mergeCell ref="D16:G16"/>
    <mergeCell ref="B208:D208"/>
    <mergeCell ref="G208:J208"/>
    <mergeCell ref="B1:H1"/>
    <mergeCell ref="D40:I40"/>
    <mergeCell ref="C2:L2"/>
    <mergeCell ref="B220:G220"/>
    <mergeCell ref="B221:F221"/>
    <mergeCell ref="B222:F222"/>
    <mergeCell ref="I32:J32"/>
    <mergeCell ref="I29:K29"/>
    <mergeCell ref="E32:F32"/>
    <mergeCell ref="K40:P40"/>
    <mergeCell ref="B87:C87"/>
    <mergeCell ref="B93:C93"/>
    <mergeCell ref="B94:C94"/>
    <mergeCell ref="E19:F19"/>
    <mergeCell ref="E29:G29"/>
    <mergeCell ref="B29:C29"/>
    <mergeCell ref="B5:C5"/>
    <mergeCell ref="B6:C6"/>
    <mergeCell ref="B7:C7"/>
    <mergeCell ref="B8:C8"/>
    <mergeCell ref="B9:C9"/>
    <mergeCell ref="S59:U59"/>
    <mergeCell ref="Q1:V1"/>
    <mergeCell ref="Q2:V2"/>
    <mergeCell ref="S57:U57"/>
    <mergeCell ref="S60:U60"/>
    <mergeCell ref="S49:U49"/>
    <mergeCell ref="S51:U51"/>
    <mergeCell ref="S52:U52"/>
    <mergeCell ref="S47:V47"/>
    <mergeCell ref="S55:V55"/>
    <mergeCell ref="S48:U48"/>
    <mergeCell ref="S56:U56"/>
    <mergeCell ref="S65:U65"/>
    <mergeCell ref="S67:U67"/>
    <mergeCell ref="S68:U68"/>
    <mergeCell ref="S71:V71"/>
    <mergeCell ref="S63:V63"/>
    <mergeCell ref="S79:V79"/>
    <mergeCell ref="S87:V87"/>
    <mergeCell ref="S213:T213"/>
    <mergeCell ref="S215:T215"/>
    <mergeCell ref="S92:U92"/>
    <mergeCell ref="S91:U91"/>
    <mergeCell ref="S89:U89"/>
    <mergeCell ref="S81:U81"/>
    <mergeCell ref="S83:U83"/>
    <mergeCell ref="S84:U84"/>
    <mergeCell ref="S73:U73"/>
    <mergeCell ref="S75:U75"/>
    <mergeCell ref="S76:U76"/>
    <mergeCell ref="S64:U64"/>
    <mergeCell ref="S72:U72"/>
    <mergeCell ref="S80:U80"/>
    <mergeCell ref="S88:U88"/>
  </mergeCells>
  <conditionalFormatting sqref="D147:I147">
    <cfRule type="containsText" dxfId="147" priority="34" operator="containsText" text="YES">
      <formula>NOT(ISERROR(SEARCH("YES",D147)))</formula>
    </cfRule>
    <cfRule type="containsText" dxfId="146" priority="35" operator="containsText" text="NO">
      <formula>NOT(ISERROR(SEARCH("NO",D147)))</formula>
    </cfRule>
  </conditionalFormatting>
  <conditionalFormatting sqref="U6:U10">
    <cfRule type="colorScale" priority="33">
      <colorScale>
        <cfvo type="min"/>
        <cfvo type="percentile" val="50"/>
        <cfvo type="max"/>
        <color rgb="FFF8696B"/>
        <color rgb="FFFFEB84"/>
        <color rgb="FF63BE7B"/>
      </colorScale>
    </cfRule>
  </conditionalFormatting>
  <conditionalFormatting sqref="N50:P50">
    <cfRule type="colorScale" priority="32">
      <colorScale>
        <cfvo type="min"/>
        <cfvo type="percentile" val="50"/>
        <cfvo type="max"/>
        <color rgb="FFF8696B"/>
        <color rgb="FFFFEB84"/>
        <color rgb="FF63BE7B"/>
      </colorScale>
    </cfRule>
  </conditionalFormatting>
  <conditionalFormatting sqref="V50 V53 V58 V61 V66 V69 V74 V77 V82 V85 V90 V93">
    <cfRule type="cellIs" dxfId="145" priority="25" operator="lessThanOrEqual">
      <formula>0</formula>
    </cfRule>
    <cfRule type="cellIs" dxfId="144" priority="26" operator="greaterThan">
      <formula>0</formula>
    </cfRule>
  </conditionalFormatting>
  <conditionalFormatting sqref="K111:P111">
    <cfRule type="cellIs" dxfId="143" priority="22" operator="greaterThan">
      <formula>100</formula>
    </cfRule>
  </conditionalFormatting>
  <conditionalFormatting sqref="K52:P52">
    <cfRule type="cellIs" dxfId="142" priority="21" operator="lessThanOrEqual">
      <formula>100</formula>
    </cfRule>
  </conditionalFormatting>
  <conditionalFormatting sqref="K120:P120">
    <cfRule type="cellIs" dxfId="141" priority="20" operator="greaterThan">
      <formula>100</formula>
    </cfRule>
  </conditionalFormatting>
  <conditionalFormatting sqref="K129:P129">
    <cfRule type="cellIs" dxfId="140" priority="19" operator="greaterThan">
      <formula>100</formula>
    </cfRule>
  </conditionalFormatting>
  <conditionalFormatting sqref="K138:P138">
    <cfRule type="cellIs" dxfId="139" priority="18" operator="greaterThan">
      <formula>100</formula>
    </cfRule>
  </conditionalFormatting>
  <conditionalFormatting sqref="K165:P165">
    <cfRule type="cellIs" dxfId="138" priority="16" operator="lessThanOrEqual">
      <formula>100</formula>
    </cfRule>
  </conditionalFormatting>
  <conditionalFormatting sqref="K172:P172">
    <cfRule type="cellIs" dxfId="137" priority="13" operator="greaterThan">
      <formula>100</formula>
    </cfRule>
  </conditionalFormatting>
  <conditionalFormatting sqref="K190:P190">
    <cfRule type="cellIs" dxfId="136" priority="10" operator="greaterThan">
      <formula>100</formula>
    </cfRule>
  </conditionalFormatting>
  <conditionalFormatting sqref="K179:P179">
    <cfRule type="cellIs" dxfId="135" priority="9" operator="greaterThan">
      <formula>100</formula>
    </cfRule>
  </conditionalFormatting>
  <conditionalFormatting sqref="K58:P58">
    <cfRule type="cellIs" dxfId="134" priority="8" operator="lessThanOrEqual">
      <formula>100</formula>
    </cfRule>
  </conditionalFormatting>
  <conditionalFormatting sqref="K64:P64">
    <cfRule type="cellIs" dxfId="133" priority="7" operator="lessThanOrEqual">
      <formula>100</formula>
    </cfRule>
  </conditionalFormatting>
  <conditionalFormatting sqref="K70:P70">
    <cfRule type="cellIs" dxfId="132" priority="2" operator="lessThan">
      <formula>-10</formula>
    </cfRule>
  </conditionalFormatting>
  <conditionalFormatting sqref="K76:P76">
    <cfRule type="cellIs" dxfId="131" priority="1" operator="lessThan">
      <formula>-10</formula>
    </cfRule>
  </conditionalFormatting>
  <pageMargins left="0.70866141732283472" right="0.70866141732283472" top="0.74803149606299213" bottom="0.74803149606299213" header="0.31496062992125984" footer="0.31496062992125984"/>
  <pageSetup scale="78" orientation="landscape" r:id="rId1"/>
  <ignoredErrors>
    <ignoredError sqref="I11 O11 J48 J56 J62 J68 J81 J74 J114 J123 K51:L51" formula="1"/>
  </ignoredErrors>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13C7299B-16F7-4147-8B41-E96CE9B22AA4}">
          <x14:formula1>
            <xm:f>'misc data'!$A$1:$A$3</xm:f>
          </x14:formula1>
          <xm:sqref>G18:G25 D18:D25</xm:sqref>
        </x14:dataValidation>
        <x14:dataValidation type="list" allowBlank="1" showInputMessage="1" showErrorMessage="1" xr:uid="{27E039C9-5ECD-4E6D-AF1E-9A0CCC684077}">
          <x14:formula1>
            <xm:f>'misc data'!$B$1:$B$3</xm:f>
          </x14:formula1>
          <xm:sqref>D26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9C62-162E-4A4A-8596-92E7BCA09F57}">
  <dimension ref="A1:E13"/>
  <sheetViews>
    <sheetView workbookViewId="0"/>
  </sheetViews>
  <sheetFormatPr defaultRowHeight="15" x14ac:dyDescent="0.25"/>
  <cols>
    <col min="1" max="1" width="11" customWidth="1"/>
    <col min="3" max="3" width="10.5703125" customWidth="1"/>
    <col min="4" max="4" width="25.28515625" customWidth="1"/>
    <col min="5" max="5" width="25.42578125" customWidth="1"/>
  </cols>
  <sheetData>
    <row r="1" spans="1:5" x14ac:dyDescent="0.25">
      <c r="A1" t="s">
        <v>542</v>
      </c>
      <c r="B1" t="s">
        <v>543</v>
      </c>
      <c r="C1" t="s">
        <v>544</v>
      </c>
      <c r="D1" t="s">
        <v>546</v>
      </c>
      <c r="E1" t="s">
        <v>547</v>
      </c>
    </row>
    <row r="2" spans="1:5" x14ac:dyDescent="0.25">
      <c r="A2">
        <v>2017</v>
      </c>
      <c r="B2" s="370">
        <v>575.928</v>
      </c>
    </row>
    <row r="3" spans="1:5" x14ac:dyDescent="0.25">
      <c r="A3">
        <v>2018</v>
      </c>
      <c r="B3" s="370">
        <v>945.81600000000003</v>
      </c>
    </row>
    <row r="4" spans="1:5" x14ac:dyDescent="0.25">
      <c r="A4">
        <v>2019</v>
      </c>
      <c r="B4" s="370">
        <v>1469.521</v>
      </c>
    </row>
    <row r="5" spans="1:5" x14ac:dyDescent="0.25">
      <c r="A5">
        <v>2020</v>
      </c>
      <c r="B5" s="370">
        <v>2372.3000000000002</v>
      </c>
    </row>
    <row r="6" spans="1:5" x14ac:dyDescent="0.25">
      <c r="A6">
        <v>2021</v>
      </c>
      <c r="B6" s="370">
        <v>3266.6010000000001</v>
      </c>
      <c r="C6" s="370">
        <v>3266.6010000000001</v>
      </c>
      <c r="D6" s="370">
        <v>3266.6010000000001</v>
      </c>
      <c r="E6" s="370">
        <v>3266.6010000000001</v>
      </c>
    </row>
    <row r="7" spans="1:5" x14ac:dyDescent="0.25">
      <c r="A7">
        <v>2022</v>
      </c>
      <c r="C7" s="370">
        <f t="shared" ref="C7:C13" si="0">_xlfn.FORECAST.ETS(A7,$B$2:$B$6,$A$2:$A$6,1,1)</f>
        <v>3853.4056953338049</v>
      </c>
      <c r="D7" s="370">
        <f t="shared" ref="D7:D13" si="1">C7-_xlfn.FORECAST.ETS.CONFINT(A7,$B$2:$B$6,$A$2:$A$6,0.99,1,1)</f>
        <v>3256.6880526671007</v>
      </c>
      <c r="E7" s="370">
        <f t="shared" ref="E7:E13" si="2">C7+_xlfn.FORECAST.ETS.CONFINT(A7,$B$2:$B$6,$A$2:$A$6,0.99,1,1)</f>
        <v>4450.1233380005096</v>
      </c>
    </row>
    <row r="8" spans="1:5" x14ac:dyDescent="0.25">
      <c r="A8">
        <v>2023</v>
      </c>
      <c r="C8" s="370">
        <f t="shared" si="0"/>
        <v>4549.3383823449949</v>
      </c>
      <c r="D8" s="370">
        <f t="shared" si="1"/>
        <v>3881.9207025116311</v>
      </c>
      <c r="E8" s="370">
        <f t="shared" si="2"/>
        <v>5216.7560621783587</v>
      </c>
    </row>
    <row r="9" spans="1:5" x14ac:dyDescent="0.25">
      <c r="A9">
        <v>2024</v>
      </c>
      <c r="C9" s="370">
        <f t="shared" si="0"/>
        <v>5245.2710693561858</v>
      </c>
      <c r="D9" s="370">
        <f t="shared" si="1"/>
        <v>4513.71251817966</v>
      </c>
      <c r="E9" s="370">
        <f t="shared" si="2"/>
        <v>5976.8296205327115</v>
      </c>
    </row>
    <row r="10" spans="1:5" x14ac:dyDescent="0.25">
      <c r="A10">
        <v>2025</v>
      </c>
      <c r="C10" s="370">
        <f t="shared" si="0"/>
        <v>5941.2037563673766</v>
      </c>
      <c r="D10" s="370">
        <f t="shared" si="1"/>
        <v>5150.4652910391496</v>
      </c>
      <c r="E10" s="370">
        <f t="shared" si="2"/>
        <v>6731.9422216956036</v>
      </c>
    </row>
    <row r="11" spans="1:5" x14ac:dyDescent="0.25">
      <c r="A11">
        <v>2026</v>
      </c>
      <c r="C11" s="370">
        <f t="shared" si="0"/>
        <v>6637.1364433785675</v>
      </c>
      <c r="D11" s="370">
        <f t="shared" si="1"/>
        <v>5791.1368619670475</v>
      </c>
      <c r="E11" s="370">
        <f t="shared" si="2"/>
        <v>7483.1360247900875</v>
      </c>
    </row>
    <row r="12" spans="1:5" x14ac:dyDescent="0.25">
      <c r="A12">
        <v>2027</v>
      </c>
      <c r="C12" s="370">
        <f t="shared" si="0"/>
        <v>7333.0691303897574</v>
      </c>
      <c r="D12" s="370">
        <f t="shared" si="1"/>
        <v>6435.0031308441403</v>
      </c>
      <c r="E12" s="370">
        <f t="shared" si="2"/>
        <v>8231.1351299353755</v>
      </c>
    </row>
    <row r="13" spans="1:5" x14ac:dyDescent="0.25">
      <c r="A13">
        <v>2028</v>
      </c>
      <c r="C13" s="370">
        <f t="shared" si="0"/>
        <v>8029.0018174009483</v>
      </c>
      <c r="D13" s="370">
        <f t="shared" si="1"/>
        <v>7081.5368966425394</v>
      </c>
      <c r="E13" s="370">
        <f t="shared" si="2"/>
        <v>8976.4667381593572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F0D6A-8433-4416-9500-15A60E7EC558}">
  <dimension ref="A1:D13"/>
  <sheetViews>
    <sheetView workbookViewId="0"/>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2017</v>
      </c>
      <c r="B2" s="370">
        <v>1642.616</v>
      </c>
    </row>
    <row r="3" spans="1:4" x14ac:dyDescent="0.25">
      <c r="A3">
        <v>2018</v>
      </c>
      <c r="B3" s="370">
        <v>2237.6970000000001</v>
      </c>
    </row>
    <row r="4" spans="1:4" x14ac:dyDescent="0.25">
      <c r="A4">
        <v>2019</v>
      </c>
      <c r="B4" s="370">
        <v>2795.4340000000002</v>
      </c>
    </row>
    <row r="5" spans="1:4" x14ac:dyDescent="0.25">
      <c r="A5">
        <v>2020</v>
      </c>
      <c r="B5" s="370">
        <v>3156.7269999999999</v>
      </c>
    </row>
    <row r="6" spans="1:4" x14ac:dyDescent="0.25">
      <c r="A6">
        <v>2021</v>
      </c>
      <c r="B6" s="370">
        <v>3576.9760000000001</v>
      </c>
    </row>
    <row r="7" spans="1:4" x14ac:dyDescent="0.25">
      <c r="A7">
        <v>2022</v>
      </c>
      <c r="C7" s="370">
        <f t="shared" ref="C7:C13" si="0">_xlfn.FORECAST.ETS(A7,$B$2:$B$6,$A$2:$A$6,1,1)</f>
        <v>4085.4231180860861</v>
      </c>
      <c r="D7" s="370">
        <f t="shared" ref="D7:D13" si="1">_xlfn.FORECAST.ETS.CONFINT(A7,$B$2:$B$6,$A$2:$A$6,0.99,1,1)</f>
        <v>239.0327420607951</v>
      </c>
    </row>
    <row r="8" spans="1:4" x14ac:dyDescent="0.25">
      <c r="A8">
        <v>2023</v>
      </c>
      <c r="C8" s="370">
        <f t="shared" si="0"/>
        <v>4558.0712792708755</v>
      </c>
      <c r="D8" s="370">
        <f t="shared" si="1"/>
        <v>267.35371422482081</v>
      </c>
    </row>
    <row r="9" spans="1:4" x14ac:dyDescent="0.25">
      <c r="A9">
        <v>2024</v>
      </c>
      <c r="C9" s="370">
        <f t="shared" si="0"/>
        <v>5030.7194404556649</v>
      </c>
      <c r="D9" s="370">
        <f t="shared" si="1"/>
        <v>293.04722026363623</v>
      </c>
    </row>
    <row r="10" spans="1:4" x14ac:dyDescent="0.25">
      <c r="A10">
        <v>2025</v>
      </c>
      <c r="C10" s="370">
        <f t="shared" si="0"/>
        <v>5503.3676016404552</v>
      </c>
      <c r="D10" s="370">
        <f t="shared" si="1"/>
        <v>316.75346948962857</v>
      </c>
    </row>
    <row r="11" spans="1:4" x14ac:dyDescent="0.25">
      <c r="A11">
        <v>2026</v>
      </c>
      <c r="C11" s="370">
        <f t="shared" si="0"/>
        <v>5976.0157628252437</v>
      </c>
      <c r="D11" s="370">
        <f t="shared" si="1"/>
        <v>338.88992928608781</v>
      </c>
    </row>
    <row r="12" spans="1:4" x14ac:dyDescent="0.25">
      <c r="A12">
        <v>2027</v>
      </c>
      <c r="C12" s="370">
        <f t="shared" si="0"/>
        <v>6448.663924010034</v>
      </c>
      <c r="D12" s="370">
        <f t="shared" si="1"/>
        <v>359.74665917974158</v>
      </c>
    </row>
    <row r="13" spans="1:4" x14ac:dyDescent="0.25">
      <c r="A13">
        <v>2028</v>
      </c>
      <c r="C13" s="370">
        <f t="shared" si="0"/>
        <v>6921.3120851948242</v>
      </c>
      <c r="D13" s="370">
        <f t="shared" si="1"/>
        <v>379.53484499501155</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07666-5FC6-4B57-9D20-7C7B60686751}">
  <dimension ref="A1:D13"/>
  <sheetViews>
    <sheetView workbookViewId="0"/>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2017</v>
      </c>
      <c r="B2" s="370">
        <v>2362.8130000000001</v>
      </c>
    </row>
    <row r="3" spans="1:4" x14ac:dyDescent="0.25">
      <c r="A3">
        <v>2018</v>
      </c>
      <c r="B3" s="370">
        <v>3963.7069999999999</v>
      </c>
    </row>
    <row r="4" spans="1:4" x14ac:dyDescent="0.25">
      <c r="A4">
        <v>2019</v>
      </c>
      <c r="B4" s="370">
        <v>5543.067</v>
      </c>
    </row>
    <row r="5" spans="1:4" x14ac:dyDescent="0.25">
      <c r="A5">
        <v>2020</v>
      </c>
      <c r="B5" s="370">
        <v>7772.2520000000004</v>
      </c>
    </row>
    <row r="6" spans="1:4" x14ac:dyDescent="0.25">
      <c r="A6">
        <v>2021</v>
      </c>
      <c r="B6" s="370">
        <v>9699.8189999999995</v>
      </c>
    </row>
    <row r="7" spans="1:4" x14ac:dyDescent="0.25">
      <c r="A7">
        <v>2022</v>
      </c>
      <c r="C7" s="370">
        <f t="shared" ref="C7:C13" si="0">_xlfn.FORECAST.ETS(A7,$B$2:$B$6,$A$2:$A$6,1,1)</f>
        <v>11493.258257335308</v>
      </c>
      <c r="D7" s="370">
        <f t="shared" ref="D7:D13" si="1">_xlfn.FORECAST.ETS.CONFINT(A7,$B$2:$B$6,$A$2:$A$6,0.99,1,1)</f>
        <v>618.30082471661183</v>
      </c>
    </row>
    <row r="8" spans="1:4" x14ac:dyDescent="0.25">
      <c r="A8">
        <v>2023</v>
      </c>
      <c r="C8" s="370">
        <f t="shared" si="0"/>
        <v>13357.568785455034</v>
      </c>
      <c r="D8" s="370">
        <f t="shared" si="1"/>
        <v>691.55807096172907</v>
      </c>
    </row>
    <row r="9" spans="1:4" x14ac:dyDescent="0.25">
      <c r="A9">
        <v>2024</v>
      </c>
      <c r="C9" s="370">
        <f t="shared" si="0"/>
        <v>15221.879313574762</v>
      </c>
      <c r="D9" s="370">
        <f t="shared" si="1"/>
        <v>758.01890740069837</v>
      </c>
    </row>
    <row r="10" spans="1:4" x14ac:dyDescent="0.25">
      <c r="A10">
        <v>2025</v>
      </c>
      <c r="C10" s="370">
        <f t="shared" si="0"/>
        <v>17086.18984169449</v>
      </c>
      <c r="D10" s="370">
        <f t="shared" si="1"/>
        <v>819.33934961710668</v>
      </c>
    </row>
    <row r="11" spans="1:4" x14ac:dyDescent="0.25">
      <c r="A11">
        <v>2026</v>
      </c>
      <c r="C11" s="370">
        <f t="shared" si="0"/>
        <v>18950.500369814217</v>
      </c>
      <c r="D11" s="370">
        <f t="shared" si="1"/>
        <v>876.59925146342243</v>
      </c>
    </row>
    <row r="12" spans="1:4" x14ac:dyDescent="0.25">
      <c r="A12">
        <v>2027</v>
      </c>
      <c r="C12" s="370">
        <f t="shared" si="0"/>
        <v>20814.810897933945</v>
      </c>
      <c r="D12" s="370">
        <f t="shared" si="1"/>
        <v>930.54890364478717</v>
      </c>
    </row>
    <row r="13" spans="1:4" x14ac:dyDescent="0.25">
      <c r="A13">
        <v>2028</v>
      </c>
      <c r="C13" s="370">
        <f t="shared" si="0"/>
        <v>22679.121426053669</v>
      </c>
      <c r="D13" s="370">
        <f t="shared" si="1"/>
        <v>981.73457596625985</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E03C-42AE-4A02-B21A-525B7A416099}">
  <dimension ref="A1:E13"/>
  <sheetViews>
    <sheetView workbookViewId="0">
      <selection activeCell="E37" sqref="E37"/>
    </sheetView>
  </sheetViews>
  <sheetFormatPr defaultRowHeight="15" x14ac:dyDescent="0.25"/>
  <cols>
    <col min="1" max="1" width="11" customWidth="1"/>
    <col min="3" max="3" width="10.5703125" customWidth="1"/>
    <col min="4" max="4" width="25.28515625" customWidth="1"/>
    <col min="5" max="5" width="25.42578125" customWidth="1"/>
  </cols>
  <sheetData>
    <row r="1" spans="1:5" x14ac:dyDescent="0.25">
      <c r="A1" t="s">
        <v>542</v>
      </c>
      <c r="B1" t="s">
        <v>543</v>
      </c>
      <c r="C1" t="s">
        <v>544</v>
      </c>
      <c r="D1" t="s">
        <v>546</v>
      </c>
      <c r="E1" t="s">
        <v>547</v>
      </c>
    </row>
    <row r="2" spans="1:5" x14ac:dyDescent="0.25">
      <c r="A2">
        <v>2017</v>
      </c>
      <c r="B2" s="370">
        <v>6660.8590000000004</v>
      </c>
    </row>
    <row r="3" spans="1:5" x14ac:dyDescent="0.25">
      <c r="A3">
        <v>2018</v>
      </c>
      <c r="B3" s="370">
        <v>8281.5319999999992</v>
      </c>
    </row>
    <row r="4" spans="1:5" x14ac:dyDescent="0.25">
      <c r="A4">
        <v>2019</v>
      </c>
      <c r="B4" s="370">
        <v>10051.208000000001</v>
      </c>
    </row>
    <row r="5" spans="1:5" x14ac:dyDescent="0.25">
      <c r="A5">
        <v>2020</v>
      </c>
      <c r="B5" s="370">
        <v>11455.396000000001</v>
      </c>
    </row>
    <row r="6" spans="1:5" x14ac:dyDescent="0.25">
      <c r="A6">
        <v>2021</v>
      </c>
      <c r="B6" s="370">
        <v>12972.1</v>
      </c>
      <c r="C6" s="370">
        <v>12972.1</v>
      </c>
      <c r="D6" s="370">
        <v>12972.1</v>
      </c>
      <c r="E6" s="370">
        <v>12972.1</v>
      </c>
    </row>
    <row r="7" spans="1:5" x14ac:dyDescent="0.25">
      <c r="A7">
        <v>2022</v>
      </c>
      <c r="C7" s="370">
        <f t="shared" ref="C7:C13" si="0">_xlfn.FORECAST.ETS(A7,$B$2:$B$6,$A$2:$A$6,1,1)</f>
        <v>14579.139602131187</v>
      </c>
      <c r="D7" s="370">
        <f t="shared" ref="D7:D13" si="1">C7-_xlfn.FORECAST.ETS.CONFINT(A7,$B$2:$B$6,$A$2:$A$6,0.99,1,1)</f>
        <v>14296.153654672478</v>
      </c>
      <c r="E7" s="370">
        <f t="shared" ref="E7:E13" si="2">C7+_xlfn.FORECAST.ETS.CONFINT(A7,$B$2:$B$6,$A$2:$A$6,0.99,1,1)</f>
        <v>14862.125549589895</v>
      </c>
    </row>
    <row r="8" spans="1:5" x14ac:dyDescent="0.25">
      <c r="A8">
        <v>2023</v>
      </c>
      <c r="C8" s="370">
        <f t="shared" si="0"/>
        <v>16150.507923657378</v>
      </c>
      <c r="D8" s="370">
        <f t="shared" si="1"/>
        <v>15858.74392233598</v>
      </c>
      <c r="E8" s="370">
        <f t="shared" si="2"/>
        <v>16442.271924978777</v>
      </c>
    </row>
    <row r="9" spans="1:5" x14ac:dyDescent="0.25">
      <c r="A9">
        <v>2024</v>
      </c>
      <c r="C9" s="370">
        <f t="shared" si="0"/>
        <v>17721.876245183568</v>
      </c>
      <c r="D9" s="370">
        <f t="shared" si="1"/>
        <v>17421.523620354998</v>
      </c>
      <c r="E9" s="370">
        <f t="shared" si="2"/>
        <v>18022.228870012139</v>
      </c>
    </row>
    <row r="10" spans="1:5" x14ac:dyDescent="0.25">
      <c r="A10">
        <v>2025</v>
      </c>
      <c r="C10" s="370">
        <f t="shared" si="0"/>
        <v>19293.24456670976</v>
      </c>
      <c r="D10" s="370">
        <f t="shared" si="1"/>
        <v>18984.47668148817</v>
      </c>
      <c r="E10" s="370">
        <f t="shared" si="2"/>
        <v>19602.01245193135</v>
      </c>
    </row>
    <row r="11" spans="1:5" x14ac:dyDescent="0.25">
      <c r="A11">
        <v>2026</v>
      </c>
      <c r="C11" s="370">
        <f t="shared" si="0"/>
        <v>20864.612888235948</v>
      </c>
      <c r="D11" s="370">
        <f t="shared" si="1"/>
        <v>20547.589047275102</v>
      </c>
      <c r="E11" s="370">
        <f t="shared" si="2"/>
        <v>21181.636729196794</v>
      </c>
    </row>
    <row r="12" spans="1:5" x14ac:dyDescent="0.25">
      <c r="A12">
        <v>2027</v>
      </c>
      <c r="C12" s="370">
        <f t="shared" si="0"/>
        <v>22435.98120976214</v>
      </c>
      <c r="D12" s="370">
        <f t="shared" si="1"/>
        <v>22110.848335718969</v>
      </c>
      <c r="E12" s="370">
        <f t="shared" si="2"/>
        <v>22761.114083805311</v>
      </c>
    </row>
    <row r="13" spans="1:5" x14ac:dyDescent="0.25">
      <c r="A13">
        <v>2028</v>
      </c>
      <c r="C13" s="370">
        <f t="shared" si="0"/>
        <v>24007.349531288331</v>
      </c>
      <c r="D13" s="370">
        <f t="shared" si="1"/>
        <v>23674.243576306566</v>
      </c>
      <c r="E13" s="370">
        <f t="shared" si="2"/>
        <v>24340.455486270097</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6CB5E-97DF-4927-A537-352169A5D9F3}">
  <dimension ref="A1:D13"/>
  <sheetViews>
    <sheetView workbookViewId="0">
      <selection activeCell="E50" sqref="E50"/>
    </sheetView>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2017</v>
      </c>
      <c r="B2" s="370">
        <v>10032.295</v>
      </c>
    </row>
    <row r="3" spans="1:4" x14ac:dyDescent="0.25">
      <c r="A3">
        <v>2018</v>
      </c>
      <c r="B3" s="370">
        <v>13147.639000000001</v>
      </c>
    </row>
    <row r="4" spans="1:4" x14ac:dyDescent="0.25">
      <c r="A4">
        <v>2019</v>
      </c>
      <c r="B4" s="370">
        <v>13869.239999999998</v>
      </c>
    </row>
    <row r="5" spans="1:4" x14ac:dyDescent="0.25">
      <c r="A5">
        <v>2020</v>
      </c>
      <c r="B5" s="370">
        <v>12197.383000000002</v>
      </c>
    </row>
    <row r="6" spans="1:4" x14ac:dyDescent="0.25">
      <c r="A6">
        <v>2021</v>
      </c>
      <c r="B6" s="370">
        <v>18337.589</v>
      </c>
    </row>
    <row r="7" spans="1:4" x14ac:dyDescent="0.25">
      <c r="A7">
        <v>2022</v>
      </c>
      <c r="C7" s="370">
        <f t="shared" ref="C7:C13" si="0">_xlfn.FORECAST.ETS(A7,$B$2:$B$6,$A$2:$A$6,1,1)</f>
        <v>15922.245670974962</v>
      </c>
      <c r="D7" s="370">
        <f t="shared" ref="D7:D13" si="1">_xlfn.FORECAST.ETS.CONFINT(A7,$B$2:$B$6,$A$2:$A$6,0.99,1,1)</f>
        <v>6114.2566408741141</v>
      </c>
    </row>
    <row r="8" spans="1:4" x14ac:dyDescent="0.25">
      <c r="A8">
        <v>2023</v>
      </c>
      <c r="C8" s="370">
        <f t="shared" si="0"/>
        <v>16278.758391267829</v>
      </c>
      <c r="D8" s="370">
        <f t="shared" si="1"/>
        <v>6163.3678270992123</v>
      </c>
    </row>
    <row r="9" spans="1:4" x14ac:dyDescent="0.25">
      <c r="A9">
        <v>2024</v>
      </c>
      <c r="C9" s="370">
        <f t="shared" si="0"/>
        <v>17740.974876205571</v>
      </c>
      <c r="D9" s="370">
        <f t="shared" si="1"/>
        <v>6213.6311727134726</v>
      </c>
    </row>
    <row r="10" spans="1:4" x14ac:dyDescent="0.25">
      <c r="A10">
        <v>2025</v>
      </c>
      <c r="C10" s="370">
        <f t="shared" si="0"/>
        <v>18097.487596498442</v>
      </c>
      <c r="D10" s="370">
        <f t="shared" si="1"/>
        <v>6263.4911773635913</v>
      </c>
    </row>
    <row r="11" spans="1:4" x14ac:dyDescent="0.25">
      <c r="A11">
        <v>2026</v>
      </c>
      <c r="C11" s="370">
        <f t="shared" si="0"/>
        <v>19559.704081436183</v>
      </c>
      <c r="D11" s="370">
        <f t="shared" si="1"/>
        <v>6314.4968807599516</v>
      </c>
    </row>
    <row r="12" spans="1:4" x14ac:dyDescent="0.25">
      <c r="A12">
        <v>2027</v>
      </c>
      <c r="C12" s="370">
        <f t="shared" si="0"/>
        <v>19916.216801729053</v>
      </c>
      <c r="D12" s="370">
        <f t="shared" si="1"/>
        <v>6365.0938708979575</v>
      </c>
    </row>
    <row r="13" spans="1:4" x14ac:dyDescent="0.25">
      <c r="A13">
        <v>2028</v>
      </c>
      <c r="C13" s="370">
        <f t="shared" si="0"/>
        <v>21378.433286666794</v>
      </c>
      <c r="D13" s="370">
        <f t="shared" si="1"/>
        <v>6416.8300535742055</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CECA2-C3AA-42D8-B0D2-FDD38250D62B}">
  <dimension ref="A1:D14"/>
  <sheetViews>
    <sheetView workbookViewId="0">
      <selection activeCell="G46" sqref="G46"/>
    </sheetView>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2016</v>
      </c>
      <c r="B2" s="357">
        <v>250</v>
      </c>
    </row>
    <row r="3" spans="1:4" x14ac:dyDescent="0.25">
      <c r="A3">
        <v>2017</v>
      </c>
      <c r="B3" s="357">
        <v>319</v>
      </c>
    </row>
    <row r="4" spans="1:4" x14ac:dyDescent="0.25">
      <c r="A4">
        <v>2018</v>
      </c>
      <c r="B4" s="357">
        <v>418</v>
      </c>
    </row>
    <row r="5" spans="1:4" x14ac:dyDescent="0.25">
      <c r="A5">
        <v>2019</v>
      </c>
      <c r="B5" s="357">
        <v>565</v>
      </c>
    </row>
    <row r="6" spans="1:4" x14ac:dyDescent="0.25">
      <c r="A6">
        <v>2020</v>
      </c>
      <c r="B6" s="357">
        <v>960</v>
      </c>
    </row>
    <row r="7" spans="1:4" x14ac:dyDescent="0.25">
      <c r="A7">
        <v>2021</v>
      </c>
      <c r="B7" s="357">
        <v>1323</v>
      </c>
    </row>
    <row r="8" spans="1:4" x14ac:dyDescent="0.25">
      <c r="A8">
        <v>2022</v>
      </c>
      <c r="C8" s="357">
        <f t="shared" ref="C8:C14" si="0">_xlfn.FORECAST.ETS(A8,$B$2:$B$7,$A$2:$A$7,1,1)</f>
        <v>1535.4010775691258</v>
      </c>
      <c r="D8" s="357">
        <f t="shared" ref="D8:D14" si="1">_xlfn.FORECAST.ETS.CONFINT(A8,$B$2:$B$7,$A$2:$A$7,0.99,1,1)</f>
        <v>337.43324643667563</v>
      </c>
    </row>
    <row r="9" spans="1:4" x14ac:dyDescent="0.25">
      <c r="A9">
        <v>2023</v>
      </c>
      <c r="C9" s="357">
        <f t="shared" si="0"/>
        <v>1762.945721684463</v>
      </c>
      <c r="D9" s="357">
        <f t="shared" si="1"/>
        <v>454.1958040460907</v>
      </c>
    </row>
    <row r="10" spans="1:4" x14ac:dyDescent="0.25">
      <c r="A10">
        <v>2024</v>
      </c>
      <c r="C10" s="357">
        <f t="shared" si="0"/>
        <v>1990.4903657998002</v>
      </c>
      <c r="D10" s="357">
        <f t="shared" si="1"/>
        <v>546.74651600296863</v>
      </c>
    </row>
    <row r="11" spans="1:4" x14ac:dyDescent="0.25">
      <c r="A11">
        <v>2025</v>
      </c>
      <c r="C11" s="357">
        <f t="shared" si="0"/>
        <v>2218.0350099151374</v>
      </c>
      <c r="D11" s="357">
        <f t="shared" si="1"/>
        <v>625.91948089839332</v>
      </c>
    </row>
    <row r="12" spans="1:4" x14ac:dyDescent="0.25">
      <c r="A12">
        <v>2026</v>
      </c>
      <c r="C12" s="357">
        <f t="shared" si="0"/>
        <v>2445.5796540304746</v>
      </c>
      <c r="D12" s="357">
        <f t="shared" si="1"/>
        <v>696.29332005675315</v>
      </c>
    </row>
    <row r="13" spans="1:4" x14ac:dyDescent="0.25">
      <c r="A13">
        <v>2027</v>
      </c>
      <c r="C13" s="357">
        <f t="shared" si="0"/>
        <v>2673.1242981458113</v>
      </c>
      <c r="D13" s="357">
        <f t="shared" si="1"/>
        <v>760.31543023037602</v>
      </c>
    </row>
    <row r="14" spans="1:4" x14ac:dyDescent="0.25">
      <c r="A14">
        <v>2028</v>
      </c>
      <c r="C14" s="357">
        <f t="shared" si="0"/>
        <v>2900.668942261148</v>
      </c>
      <c r="D14" s="357">
        <f t="shared" si="1"/>
        <v>819.47600450699133</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9C1EE-C6E0-4B45-99F9-07ADBFF3DA7E}">
  <dimension ref="A1:D14"/>
  <sheetViews>
    <sheetView workbookViewId="0">
      <selection activeCell="F52" sqref="F52"/>
    </sheetView>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2016</v>
      </c>
      <c r="B2" s="357">
        <v>10975.393</v>
      </c>
    </row>
    <row r="3" spans="1:4" x14ac:dyDescent="0.25">
      <c r="A3">
        <v>2017</v>
      </c>
      <c r="B3" s="357">
        <v>14668.688</v>
      </c>
    </row>
    <row r="4" spans="1:4" x14ac:dyDescent="0.25">
      <c r="A4">
        <v>2018</v>
      </c>
      <c r="B4" s="357">
        <v>20102.327000000001</v>
      </c>
    </row>
    <row r="5" spans="1:4" x14ac:dyDescent="0.25">
      <c r="A5">
        <v>2019</v>
      </c>
      <c r="B5" s="357">
        <v>24504.566999999999</v>
      </c>
    </row>
    <row r="6" spans="1:4" x14ac:dyDescent="0.25">
      <c r="A6">
        <v>2020</v>
      </c>
      <c r="B6" s="357">
        <v>25383.95</v>
      </c>
    </row>
    <row r="7" spans="1:4" x14ac:dyDescent="0.25">
      <c r="A7">
        <v>2021</v>
      </c>
      <c r="B7" s="357">
        <v>30919.539000000001</v>
      </c>
    </row>
    <row r="8" spans="1:4" x14ac:dyDescent="0.25">
      <c r="A8">
        <v>2022</v>
      </c>
      <c r="C8" s="357">
        <f t="shared" ref="C8:C14" si="0">_xlfn.FORECAST.ETS(A8,$B$2:$B$7,$A$2:$A$7,1,1)</f>
        <v>34104.429092722661</v>
      </c>
      <c r="D8" s="357">
        <f t="shared" ref="D8:D14" si="1">_xlfn.FORECAST.ETS.CONFINT(A8,$B$2:$B$7,$A$2:$A$7,0.99,1,1)</f>
        <v>2860.4761336889783</v>
      </c>
    </row>
    <row r="9" spans="1:4" x14ac:dyDescent="0.25">
      <c r="A9">
        <v>2023</v>
      </c>
      <c r="C9" s="357">
        <f t="shared" si="0"/>
        <v>37959.621723836768</v>
      </c>
      <c r="D9" s="357">
        <f t="shared" si="1"/>
        <v>2860.4890058026176</v>
      </c>
    </row>
    <row r="10" spans="1:4" x14ac:dyDescent="0.25">
      <c r="A10">
        <v>2024</v>
      </c>
      <c r="C10" s="357">
        <f t="shared" si="0"/>
        <v>41814.814354950882</v>
      </c>
      <c r="D10" s="357">
        <f t="shared" si="1"/>
        <v>2860.5118894171774</v>
      </c>
    </row>
    <row r="11" spans="1:4" x14ac:dyDescent="0.25">
      <c r="A11">
        <v>2025</v>
      </c>
      <c r="C11" s="357">
        <f t="shared" si="0"/>
        <v>45670.006986064989</v>
      </c>
      <c r="D11" s="357">
        <f t="shared" si="1"/>
        <v>2860.5476446984449</v>
      </c>
    </row>
    <row r="12" spans="1:4" x14ac:dyDescent="0.25">
      <c r="A12">
        <v>2026</v>
      </c>
      <c r="C12" s="357">
        <f t="shared" si="0"/>
        <v>49525.199617179096</v>
      </c>
      <c r="D12" s="357">
        <f t="shared" si="1"/>
        <v>2860.5991315183305</v>
      </c>
    </row>
    <row r="13" spans="1:4" x14ac:dyDescent="0.25">
      <c r="A13">
        <v>2027</v>
      </c>
      <c r="C13" s="357">
        <f t="shared" si="0"/>
        <v>53380.39224829321</v>
      </c>
      <c r="D13" s="357">
        <f t="shared" si="1"/>
        <v>2860.66920931192</v>
      </c>
    </row>
    <row r="14" spans="1:4" x14ac:dyDescent="0.25">
      <c r="A14">
        <v>2028</v>
      </c>
      <c r="C14" s="357">
        <f t="shared" si="0"/>
        <v>57235.584879407324</v>
      </c>
      <c r="D14" s="357">
        <f t="shared" si="1"/>
        <v>2860.7607369059751</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4997-1EC7-41A8-B9A4-23FC822AA326}">
  <dimension ref="A1:D14"/>
  <sheetViews>
    <sheetView workbookViewId="0">
      <selection activeCell="F22" sqref="F22"/>
    </sheetView>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2016</v>
      </c>
      <c r="B2" s="357">
        <v>4925</v>
      </c>
    </row>
    <row r="3" spans="1:4" x14ac:dyDescent="0.25">
      <c r="A3">
        <v>2017</v>
      </c>
      <c r="B3" s="357">
        <v>6270</v>
      </c>
    </row>
    <row r="4" spans="1:4" x14ac:dyDescent="0.25">
      <c r="A4">
        <v>2018</v>
      </c>
      <c r="B4" s="357">
        <v>7615</v>
      </c>
    </row>
    <row r="5" spans="1:4" x14ac:dyDescent="0.25">
      <c r="A5">
        <v>2019</v>
      </c>
      <c r="B5" s="357">
        <v>9320</v>
      </c>
    </row>
    <row r="6" spans="1:4" x14ac:dyDescent="0.25">
      <c r="A6">
        <v>2020</v>
      </c>
      <c r="B6" s="357">
        <v>10923</v>
      </c>
    </row>
    <row r="7" spans="1:4" x14ac:dyDescent="0.25">
      <c r="A7">
        <v>2021</v>
      </c>
      <c r="B7" s="357">
        <v>12439</v>
      </c>
    </row>
    <row r="8" spans="1:4" x14ac:dyDescent="0.25">
      <c r="A8">
        <v>2022</v>
      </c>
      <c r="C8" s="357">
        <f t="shared" ref="C8:C14" si="0">_xlfn.FORECAST.ETS(A8,$B$2:$B$7,$A$2:$A$7,1,1)</f>
        <v>13976.591254966597</v>
      </c>
      <c r="D8" s="357">
        <f t="shared" ref="D8:D14" si="1">_xlfn.FORECAST.ETS.CONFINT(A8,$B$2:$B$7,$A$2:$A$7,0.99,1,1)</f>
        <v>348.20208239337438</v>
      </c>
    </row>
    <row r="9" spans="1:4" x14ac:dyDescent="0.25">
      <c r="A9">
        <v>2023</v>
      </c>
      <c r="C9" s="357">
        <f t="shared" si="0"/>
        <v>15512.95929241163</v>
      </c>
      <c r="D9" s="357">
        <f t="shared" si="1"/>
        <v>468.69099726621442</v>
      </c>
    </row>
    <row r="10" spans="1:4" x14ac:dyDescent="0.25">
      <c r="A10">
        <v>2024</v>
      </c>
      <c r="C10" s="357">
        <f t="shared" si="0"/>
        <v>17049.32732985666</v>
      </c>
      <c r="D10" s="357">
        <f t="shared" si="1"/>
        <v>564.1953702664664</v>
      </c>
    </row>
    <row r="11" spans="1:4" x14ac:dyDescent="0.25">
      <c r="A11">
        <v>2025</v>
      </c>
      <c r="C11" s="357">
        <f t="shared" si="0"/>
        <v>18585.695367301691</v>
      </c>
      <c r="D11" s="357">
        <f t="shared" si="1"/>
        <v>645.89505912927689</v>
      </c>
    </row>
    <row r="12" spans="1:4" x14ac:dyDescent="0.25">
      <c r="A12">
        <v>2026</v>
      </c>
      <c r="C12" s="357">
        <f t="shared" si="0"/>
        <v>20122.063404746725</v>
      </c>
      <c r="D12" s="357">
        <f t="shared" si="1"/>
        <v>718.51480718233631</v>
      </c>
    </row>
    <row r="13" spans="1:4" x14ac:dyDescent="0.25">
      <c r="A13">
        <v>2027</v>
      </c>
      <c r="C13" s="357">
        <f t="shared" si="0"/>
        <v>21658.431442191755</v>
      </c>
      <c r="D13" s="357">
        <f t="shared" si="1"/>
        <v>784.58011733504247</v>
      </c>
    </row>
    <row r="14" spans="1:4" x14ac:dyDescent="0.25">
      <c r="A14">
        <v>2028</v>
      </c>
      <c r="C14" s="357">
        <f t="shared" si="0"/>
        <v>23194.799479636786</v>
      </c>
      <c r="D14" s="357">
        <f t="shared" si="1"/>
        <v>845.62874065903736</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DBDB8-8DD5-4B78-AF40-0B3CFFD3F7A1}">
  <dimension ref="A1:D14"/>
  <sheetViews>
    <sheetView workbookViewId="0">
      <selection activeCell="G24" sqref="G24"/>
    </sheetView>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2016</v>
      </c>
      <c r="B2" s="369">
        <v>74</v>
      </c>
    </row>
    <row r="3" spans="1:4" x14ac:dyDescent="0.25">
      <c r="A3">
        <v>2017</v>
      </c>
      <c r="B3" s="369">
        <v>-74</v>
      </c>
    </row>
    <row r="4" spans="1:4" x14ac:dyDescent="0.25">
      <c r="A4">
        <v>2018</v>
      </c>
      <c r="B4" s="369">
        <v>15</v>
      </c>
    </row>
    <row r="5" spans="1:4" x14ac:dyDescent="0.25">
      <c r="A5">
        <v>2019</v>
      </c>
      <c r="B5" s="369">
        <v>195</v>
      </c>
    </row>
    <row r="6" spans="1:4" x14ac:dyDescent="0.25">
      <c r="A6">
        <v>2020</v>
      </c>
      <c r="B6" s="369">
        <v>438</v>
      </c>
    </row>
    <row r="7" spans="1:4" x14ac:dyDescent="0.25">
      <c r="A7">
        <v>2021</v>
      </c>
      <c r="B7" s="369">
        <v>724</v>
      </c>
    </row>
    <row r="8" spans="1:4" x14ac:dyDescent="0.25">
      <c r="A8">
        <v>2022</v>
      </c>
      <c r="C8" s="369">
        <f t="shared" ref="C8:C14" si="0">_xlfn.FORECAST.ETS(A8,$B$2:$B$7,$A$2:$A$7,1,1)</f>
        <v>874.01288291219544</v>
      </c>
      <c r="D8" s="369">
        <f t="shared" ref="D8:D14" si="1">_xlfn.FORECAST.ETS.CONFINT(A8,$B$2:$B$7,$A$2:$A$7,0.99,1,1)</f>
        <v>381.65334258403675</v>
      </c>
    </row>
    <row r="9" spans="1:4" x14ac:dyDescent="0.25">
      <c r="A9">
        <v>2023</v>
      </c>
      <c r="C9" s="369">
        <f t="shared" si="0"/>
        <v>1037.1342277583258</v>
      </c>
      <c r="D9" s="369">
        <f t="shared" si="1"/>
        <v>513.7174496952407</v>
      </c>
    </row>
    <row r="10" spans="1:4" x14ac:dyDescent="0.25">
      <c r="A10">
        <v>2024</v>
      </c>
      <c r="C10" s="369">
        <f t="shared" si="0"/>
        <v>1200.2555726044561</v>
      </c>
      <c r="D10" s="369">
        <f t="shared" si="1"/>
        <v>618.39678686749994</v>
      </c>
    </row>
    <row r="11" spans="1:4" x14ac:dyDescent="0.25">
      <c r="A11">
        <v>2025</v>
      </c>
      <c r="C11" s="369">
        <f t="shared" si="0"/>
        <v>1363.3769174505865</v>
      </c>
      <c r="D11" s="369">
        <f t="shared" si="1"/>
        <v>707.94524426972009</v>
      </c>
    </row>
    <row r="12" spans="1:4" x14ac:dyDescent="0.25">
      <c r="A12">
        <v>2026</v>
      </c>
      <c r="C12" s="369">
        <f t="shared" si="0"/>
        <v>1526.4982622967168</v>
      </c>
      <c r="D12" s="369">
        <f t="shared" si="1"/>
        <v>787.54146434846609</v>
      </c>
    </row>
    <row r="13" spans="1:4" x14ac:dyDescent="0.25">
      <c r="A13">
        <v>2027</v>
      </c>
      <c r="C13" s="369">
        <f t="shared" si="0"/>
        <v>1689.6196071428474</v>
      </c>
      <c r="D13" s="369">
        <f t="shared" si="1"/>
        <v>859.95357135058998</v>
      </c>
    </row>
    <row r="14" spans="1:4" x14ac:dyDescent="0.25">
      <c r="A14">
        <v>2028</v>
      </c>
      <c r="C14" s="369">
        <f t="shared" si="0"/>
        <v>1852.7409519889779</v>
      </c>
      <c r="D14" s="369">
        <f t="shared" si="1"/>
        <v>926.86704582382526</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1ED03-954F-4DCE-B437-69016B872AF9}">
  <dimension ref="A1:D14"/>
  <sheetViews>
    <sheetView workbookViewId="0">
      <selection activeCell="E24" sqref="E24:E25"/>
    </sheetView>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2016</v>
      </c>
      <c r="B2" s="357">
        <v>315.66300000000001</v>
      </c>
    </row>
    <row r="3" spans="1:4" x14ac:dyDescent="0.25">
      <c r="A3">
        <v>2017</v>
      </c>
      <c r="B3" s="357">
        <v>431.04300000000001</v>
      </c>
    </row>
    <row r="4" spans="1:4" x14ac:dyDescent="0.25">
      <c r="A4">
        <v>2018</v>
      </c>
      <c r="B4" s="357">
        <v>630.29399999999998</v>
      </c>
    </row>
    <row r="5" spans="1:4" x14ac:dyDescent="0.25">
      <c r="A5">
        <v>2019</v>
      </c>
      <c r="B5" s="357">
        <v>914.36900000000003</v>
      </c>
    </row>
    <row r="6" spans="1:4" x14ac:dyDescent="0.25">
      <c r="A6">
        <v>2020</v>
      </c>
      <c r="B6" s="357">
        <v>1076.4860000000001</v>
      </c>
    </row>
    <row r="7" spans="1:4" x14ac:dyDescent="0.25">
      <c r="A7">
        <v>2021</v>
      </c>
      <c r="B7" s="357">
        <v>1351.6210000000001</v>
      </c>
    </row>
    <row r="8" spans="1:4" x14ac:dyDescent="0.25">
      <c r="A8">
        <v>2022</v>
      </c>
      <c r="C8" s="357">
        <f t="shared" ref="C8:C14" si="0">_xlfn.FORECAST.ETS(A8,$B$2:$B$7,$A$2:$A$7,1,1)</f>
        <v>1557.3290902572737</v>
      </c>
      <c r="D8" s="357">
        <f t="shared" ref="D8:D14" si="1">_xlfn.FORECAST.ETS.CONFINT(A8,$B$2:$B$7,$A$2:$A$7,0.99,1,1)</f>
        <v>146.56594353840282</v>
      </c>
    </row>
    <row r="9" spans="1:4" x14ac:dyDescent="0.25">
      <c r="A9">
        <v>2023</v>
      </c>
      <c r="C9" s="357">
        <f t="shared" si="0"/>
        <v>1774.8574124500058</v>
      </c>
      <c r="D9" s="357">
        <f t="shared" si="1"/>
        <v>183.29540649200288</v>
      </c>
    </row>
    <row r="10" spans="1:4" x14ac:dyDescent="0.25">
      <c r="A10">
        <v>2024</v>
      </c>
      <c r="C10" s="357">
        <f t="shared" si="0"/>
        <v>1992.3857346427376</v>
      </c>
      <c r="D10" s="357">
        <f t="shared" si="1"/>
        <v>213.8810956706325</v>
      </c>
    </row>
    <row r="11" spans="1:4" x14ac:dyDescent="0.25">
      <c r="A11">
        <v>2025</v>
      </c>
      <c r="C11" s="357">
        <f t="shared" si="0"/>
        <v>2209.9140568354696</v>
      </c>
      <c r="D11" s="357">
        <f t="shared" si="1"/>
        <v>240.67689939223268</v>
      </c>
    </row>
    <row r="12" spans="1:4" x14ac:dyDescent="0.25">
      <c r="A12">
        <v>2026</v>
      </c>
      <c r="C12" s="357">
        <f t="shared" si="0"/>
        <v>2427.4423790282017</v>
      </c>
      <c r="D12" s="357">
        <f t="shared" si="1"/>
        <v>264.83577826945162</v>
      </c>
    </row>
    <row r="13" spans="1:4" x14ac:dyDescent="0.25">
      <c r="A13">
        <v>2027</v>
      </c>
      <c r="C13" s="357">
        <f t="shared" si="0"/>
        <v>2644.9707012209337</v>
      </c>
      <c r="D13" s="357">
        <f t="shared" si="1"/>
        <v>287.02443223531264</v>
      </c>
    </row>
    <row r="14" spans="1:4" x14ac:dyDescent="0.25">
      <c r="A14">
        <v>2028</v>
      </c>
      <c r="C14" s="357">
        <f t="shared" si="0"/>
        <v>2862.4990234136658</v>
      </c>
      <c r="D14" s="357">
        <f t="shared" si="1"/>
        <v>307.66949574090506</v>
      </c>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B59D4-DE4D-4D64-9F71-8BDDA784E413}">
  <dimension ref="A1:D14"/>
  <sheetViews>
    <sheetView workbookViewId="0"/>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2016</v>
      </c>
      <c r="B2" s="357">
        <v>780.23199999999997</v>
      </c>
    </row>
    <row r="3" spans="1:4" x14ac:dyDescent="0.25">
      <c r="A3">
        <v>2017</v>
      </c>
      <c r="B3" s="357">
        <v>953.71</v>
      </c>
    </row>
    <row r="4" spans="1:4" x14ac:dyDescent="0.25">
      <c r="A4">
        <v>2018</v>
      </c>
      <c r="B4" s="357">
        <v>1221.8140000000001</v>
      </c>
    </row>
    <row r="5" spans="1:4" x14ac:dyDescent="0.25">
      <c r="A5">
        <v>2019</v>
      </c>
      <c r="B5" s="357">
        <v>1545</v>
      </c>
    </row>
    <row r="6" spans="1:4" x14ac:dyDescent="0.25">
      <c r="A6">
        <v>2020</v>
      </c>
      <c r="B6" s="357">
        <v>1830</v>
      </c>
    </row>
    <row r="7" spans="1:4" x14ac:dyDescent="0.25">
      <c r="A7">
        <v>2021</v>
      </c>
      <c r="B7" s="357">
        <v>2274</v>
      </c>
    </row>
    <row r="8" spans="1:4" x14ac:dyDescent="0.25">
      <c r="A8">
        <v>2022</v>
      </c>
      <c r="C8" s="357">
        <f t="shared" ref="C8:C14" si="0">_xlfn.FORECAST.ETS(A8,$B$2:$B$7,$A$2:$A$7,1,1)</f>
        <v>2567.9044953039534</v>
      </c>
      <c r="D8" s="357">
        <f t="shared" ref="D8:D14" si="1">_xlfn.FORECAST.ETS.CONFINT(A8,$B$2:$B$7,$A$2:$A$7,0.99,1,1)</f>
        <v>208.73733367275642</v>
      </c>
    </row>
    <row r="9" spans="1:4" x14ac:dyDescent="0.25">
      <c r="A9">
        <v>2023</v>
      </c>
      <c r="C9" s="357">
        <f t="shared" si="0"/>
        <v>2875.273663452555</v>
      </c>
      <c r="D9" s="357">
        <f t="shared" si="1"/>
        <v>280.96704193529069</v>
      </c>
    </row>
    <row r="10" spans="1:4" x14ac:dyDescent="0.25">
      <c r="A10">
        <v>2024</v>
      </c>
      <c r="C10" s="357">
        <f t="shared" si="0"/>
        <v>3182.6428316011566</v>
      </c>
      <c r="D10" s="357">
        <f t="shared" si="1"/>
        <v>338.21922158090081</v>
      </c>
    </row>
    <row r="11" spans="1:4" x14ac:dyDescent="0.25">
      <c r="A11">
        <v>2025</v>
      </c>
      <c r="C11" s="357">
        <f t="shared" si="0"/>
        <v>3490.0119997497582</v>
      </c>
      <c r="D11" s="357">
        <f t="shared" si="1"/>
        <v>387.19588219676314</v>
      </c>
    </row>
    <row r="12" spans="1:4" x14ac:dyDescent="0.25">
      <c r="A12">
        <v>2026</v>
      </c>
      <c r="C12" s="357">
        <f t="shared" si="0"/>
        <v>3797.3811678983598</v>
      </c>
      <c r="D12" s="357">
        <f t="shared" si="1"/>
        <v>430.72937423216695</v>
      </c>
    </row>
    <row r="13" spans="1:4" x14ac:dyDescent="0.25">
      <c r="A13">
        <v>2027</v>
      </c>
      <c r="C13" s="357">
        <f t="shared" si="0"/>
        <v>4104.7503360469618</v>
      </c>
      <c r="D13" s="357">
        <f t="shared" si="1"/>
        <v>470.33366549530837</v>
      </c>
    </row>
    <row r="14" spans="1:4" x14ac:dyDescent="0.25">
      <c r="A14">
        <v>2028</v>
      </c>
      <c r="C14" s="357">
        <f t="shared" si="0"/>
        <v>4412.1195041955634</v>
      </c>
      <c r="D14" s="357">
        <f t="shared" si="1"/>
        <v>506.93059440926822</v>
      </c>
    </row>
  </sheetData>
  <pageMargins left="0.7" right="0.7" top="0.75" bottom="0.75" header="0.3" footer="0.3"/>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FD588-488B-44AF-AB65-5A55DE5BB0BB}">
  <dimension ref="A1:D14"/>
  <sheetViews>
    <sheetView workbookViewId="0"/>
  </sheetViews>
  <sheetFormatPr defaultRowHeight="15" x14ac:dyDescent="0.25"/>
  <cols>
    <col min="1" max="1" width="11" customWidth="1"/>
    <col min="3" max="3" width="10.5703125" customWidth="1"/>
    <col min="4" max="4" width="20.5703125" customWidth="1"/>
  </cols>
  <sheetData>
    <row r="1" spans="1:4" x14ac:dyDescent="0.25">
      <c r="A1" t="s">
        <v>542</v>
      </c>
      <c r="B1" t="s">
        <v>543</v>
      </c>
      <c r="C1" t="s">
        <v>544</v>
      </c>
      <c r="D1" t="s">
        <v>545</v>
      </c>
    </row>
    <row r="2" spans="1:4" x14ac:dyDescent="0.25">
      <c r="A2">
        <v>2016</v>
      </c>
      <c r="B2" s="357">
        <v>1097.519</v>
      </c>
    </row>
    <row r="3" spans="1:4" x14ac:dyDescent="0.25">
      <c r="A3">
        <v>2017</v>
      </c>
      <c r="B3" s="357">
        <v>1436.2809999999999</v>
      </c>
    </row>
    <row r="4" spans="1:4" x14ac:dyDescent="0.25">
      <c r="A4">
        <v>2018</v>
      </c>
      <c r="B4" s="357">
        <v>2369.4690000000001</v>
      </c>
    </row>
    <row r="5" spans="1:4" x14ac:dyDescent="0.25">
      <c r="A5">
        <v>2019</v>
      </c>
      <c r="B5" s="357">
        <v>2652.462</v>
      </c>
    </row>
    <row r="6" spans="1:4" x14ac:dyDescent="0.25">
      <c r="A6">
        <v>2020</v>
      </c>
      <c r="B6" s="357">
        <v>2228.3620000000001</v>
      </c>
    </row>
    <row r="7" spans="1:4" x14ac:dyDescent="0.25">
      <c r="A7">
        <v>2021</v>
      </c>
      <c r="B7" s="357">
        <v>2545.1460000000002</v>
      </c>
    </row>
    <row r="8" spans="1:4" x14ac:dyDescent="0.25">
      <c r="A8">
        <v>2022</v>
      </c>
      <c r="C8" s="357">
        <f t="shared" ref="C8:C14" si="0">_xlfn.FORECAST.ETS(A8,$B$2:$B$7,$A$2:$A$7,1,1)</f>
        <v>2801.935138679255</v>
      </c>
      <c r="D8" s="357">
        <f t="shared" ref="D8:D14" si="1">_xlfn.FORECAST.ETS.CONFINT(A8,$B$2:$B$7,$A$2:$A$7,0.99,1,1)</f>
        <v>1017.6602488933983</v>
      </c>
    </row>
    <row r="9" spans="1:4" x14ac:dyDescent="0.25">
      <c r="A9">
        <v>2023</v>
      </c>
      <c r="C9" s="357">
        <f t="shared" si="0"/>
        <v>3058.0738082872122</v>
      </c>
      <c r="D9" s="357">
        <f t="shared" si="1"/>
        <v>1369.8028272937943</v>
      </c>
    </row>
    <row r="10" spans="1:4" x14ac:dyDescent="0.25">
      <c r="A10">
        <v>2024</v>
      </c>
      <c r="C10" s="357">
        <f t="shared" si="0"/>
        <v>3314.2124778951688</v>
      </c>
      <c r="D10" s="357">
        <f t="shared" si="1"/>
        <v>1648.9252361254703</v>
      </c>
    </row>
    <row r="11" spans="1:4" x14ac:dyDescent="0.25">
      <c r="A11">
        <v>2025</v>
      </c>
      <c r="C11" s="357">
        <f t="shared" si="0"/>
        <v>3570.3511475031255</v>
      </c>
      <c r="D11" s="357">
        <f t="shared" si="1"/>
        <v>1887.7018830977083</v>
      </c>
    </row>
    <row r="12" spans="1:4" x14ac:dyDescent="0.25">
      <c r="A12">
        <v>2026</v>
      </c>
      <c r="C12" s="357">
        <f t="shared" si="0"/>
        <v>3826.4898171110822</v>
      </c>
      <c r="D12" s="357">
        <f t="shared" si="1"/>
        <v>2099.9413687730485</v>
      </c>
    </row>
    <row r="13" spans="1:4" x14ac:dyDescent="0.25">
      <c r="A13">
        <v>2027</v>
      </c>
      <c r="C13" s="357">
        <f t="shared" si="0"/>
        <v>4082.6284867190388</v>
      </c>
      <c r="D13" s="357">
        <f t="shared" si="1"/>
        <v>2293.0247630798881</v>
      </c>
    </row>
    <row r="14" spans="1:4" x14ac:dyDescent="0.25">
      <c r="A14">
        <v>2028</v>
      </c>
      <c r="C14" s="357">
        <f t="shared" si="0"/>
        <v>4338.767156326996</v>
      </c>
      <c r="D14" s="357">
        <f t="shared" si="1"/>
        <v>2471.4463186876733</v>
      </c>
    </row>
  </sheetData>
  <pageMargins left="0.7" right="0.7" top="0.75" bottom="0.75" header="0.3" footer="0.3"/>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E4DE-326A-444D-95C1-C6C3196118CB}">
  <dimension ref="A1:D14"/>
  <sheetViews>
    <sheetView workbookViewId="0">
      <selection activeCell="C8" sqref="C8"/>
    </sheetView>
  </sheetViews>
  <sheetFormatPr defaultRowHeight="15" x14ac:dyDescent="0.25"/>
  <cols>
    <col min="1" max="1" width="11.140625" bestFit="1" customWidth="1"/>
    <col min="2" max="2" width="9.28515625" bestFit="1" customWidth="1"/>
    <col min="3" max="3" width="10.7109375" bestFit="1" customWidth="1"/>
    <col min="4" max="4" width="21" bestFit="1" customWidth="1"/>
  </cols>
  <sheetData>
    <row r="1" spans="1:4" x14ac:dyDescent="0.25">
      <c r="A1" t="s">
        <v>542</v>
      </c>
      <c r="B1" t="s">
        <v>543</v>
      </c>
      <c r="C1" t="s">
        <v>544</v>
      </c>
      <c r="D1" t="s">
        <v>545</v>
      </c>
    </row>
    <row r="2" spans="1:4" x14ac:dyDescent="0.25">
      <c r="A2">
        <v>2016</v>
      </c>
      <c r="B2" s="21">
        <v>6257</v>
      </c>
      <c r="C2" s="21"/>
      <c r="D2" s="21"/>
    </row>
    <row r="3" spans="1:4" x14ac:dyDescent="0.25">
      <c r="A3">
        <v>2017</v>
      </c>
      <c r="B3" s="21">
        <v>8033</v>
      </c>
      <c r="C3" s="21"/>
      <c r="D3" s="21"/>
    </row>
    <row r="4" spans="1:4" x14ac:dyDescent="0.25">
      <c r="A4">
        <v>2018</v>
      </c>
      <c r="B4" s="21">
        <v>9968</v>
      </c>
      <c r="C4" s="21"/>
      <c r="D4" s="21"/>
    </row>
    <row r="5" spans="1:4" x14ac:dyDescent="0.25">
      <c r="A5">
        <v>2019</v>
      </c>
      <c r="B5" s="21">
        <v>12440</v>
      </c>
      <c r="C5" s="21"/>
      <c r="D5" s="21"/>
    </row>
    <row r="6" spans="1:4" x14ac:dyDescent="0.25">
      <c r="A6">
        <v>2020</v>
      </c>
      <c r="B6" s="21">
        <v>15276</v>
      </c>
      <c r="C6" s="21"/>
      <c r="D6" s="21"/>
    </row>
    <row r="7" spans="1:4" x14ac:dyDescent="0.25">
      <c r="A7">
        <v>2021</v>
      </c>
      <c r="B7" s="21">
        <v>17333</v>
      </c>
      <c r="C7" s="21"/>
      <c r="D7" s="21"/>
    </row>
    <row r="8" spans="1:4" x14ac:dyDescent="0.25">
      <c r="A8">
        <v>2022</v>
      </c>
      <c r="B8" s="21"/>
      <c r="C8" s="21">
        <f t="shared" ref="C8:C14" si="0">_xlfn.FORECAST.ETS(A8,$B$2:$B$7,$A$2:$A$7,1,1)</f>
        <v>19668.512344437113</v>
      </c>
      <c r="D8" s="21">
        <f t="shared" ref="D8:D14" si="1">_xlfn.FORECAST.ETS.CONFINT(A8,$B$2:$B$7,$A$2:$A$7,0.99,1,1)</f>
        <v>951.21536770101659</v>
      </c>
    </row>
    <row r="9" spans="1:4" x14ac:dyDescent="0.25">
      <c r="A9">
        <v>2023</v>
      </c>
      <c r="B9" s="21"/>
      <c r="C9" s="21">
        <f t="shared" si="0"/>
        <v>21983.529601261216</v>
      </c>
      <c r="D9" s="21">
        <f t="shared" si="1"/>
        <v>1280.3659192338637</v>
      </c>
    </row>
    <row r="10" spans="1:4" x14ac:dyDescent="0.25">
      <c r="A10">
        <v>2024</v>
      </c>
      <c r="B10" s="21"/>
      <c r="C10" s="21">
        <f t="shared" si="0"/>
        <v>24298.546858085323</v>
      </c>
      <c r="D10" s="21">
        <f t="shared" si="1"/>
        <v>1541.2639203488002</v>
      </c>
    </row>
    <row r="11" spans="1:4" x14ac:dyDescent="0.25">
      <c r="A11">
        <v>2025</v>
      </c>
      <c r="B11" s="21"/>
      <c r="C11" s="21">
        <f t="shared" si="0"/>
        <v>26613.564114909426</v>
      </c>
      <c r="D11" s="21">
        <f t="shared" si="1"/>
        <v>1764.4504074844547</v>
      </c>
    </row>
    <row r="12" spans="1:4" x14ac:dyDescent="0.25">
      <c r="A12">
        <v>2026</v>
      </c>
      <c r="B12" s="21"/>
      <c r="C12" s="21">
        <f t="shared" si="0"/>
        <v>28928.58137173353</v>
      </c>
      <c r="D12" s="21">
        <f t="shared" si="1"/>
        <v>1962.8323926576725</v>
      </c>
    </row>
    <row r="13" spans="1:4" x14ac:dyDescent="0.25">
      <c r="A13">
        <v>2027</v>
      </c>
      <c r="B13" s="21"/>
      <c r="C13" s="21">
        <f t="shared" si="0"/>
        <v>31243.598628557636</v>
      </c>
      <c r="D13" s="21">
        <f t="shared" si="1"/>
        <v>2143.309022370051</v>
      </c>
    </row>
    <row r="14" spans="1:4" x14ac:dyDescent="0.25">
      <c r="A14">
        <v>2028</v>
      </c>
      <c r="B14" s="21"/>
      <c r="C14" s="21">
        <f t="shared" si="0"/>
        <v>33558.61588538174</v>
      </c>
      <c r="D14" s="21">
        <f t="shared" si="1"/>
        <v>2310.0811113926857</v>
      </c>
    </row>
  </sheetData>
  <pageMargins left="0.7" right="0.7" top="0.75" bottom="0.75" header="0.3" footer="0.3"/>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43E46-CE51-4C66-815C-E1DAB88E5E4B}">
  <dimension ref="A1:D14"/>
  <sheetViews>
    <sheetView workbookViewId="0">
      <selection activeCell="D21" sqref="D21"/>
    </sheetView>
  </sheetViews>
  <sheetFormatPr defaultRowHeight="15" x14ac:dyDescent="0.25"/>
  <cols>
    <col min="1" max="1" width="11.140625" bestFit="1" customWidth="1"/>
    <col min="2" max="2" width="9.28515625" bestFit="1" customWidth="1"/>
    <col min="3" max="3" width="10.7109375" bestFit="1" customWidth="1"/>
    <col min="4" max="4" width="21" bestFit="1" customWidth="1"/>
  </cols>
  <sheetData>
    <row r="1" spans="1:4" x14ac:dyDescent="0.25">
      <c r="A1" t="s">
        <v>542</v>
      </c>
      <c r="B1" t="s">
        <v>543</v>
      </c>
      <c r="C1" t="s">
        <v>544</v>
      </c>
      <c r="D1" t="s">
        <v>545</v>
      </c>
    </row>
    <row r="2" spans="1:4" x14ac:dyDescent="0.25">
      <c r="A2">
        <v>2016</v>
      </c>
      <c r="B2" s="357">
        <v>8831</v>
      </c>
    </row>
    <row r="3" spans="1:4" x14ac:dyDescent="0.25">
      <c r="A3">
        <v>2017</v>
      </c>
      <c r="B3" s="357">
        <v>11692.713</v>
      </c>
    </row>
    <row r="4" spans="1:4" x14ac:dyDescent="0.25">
      <c r="A4">
        <v>2018</v>
      </c>
      <c r="B4" s="357">
        <v>15794</v>
      </c>
    </row>
    <row r="5" spans="1:4" x14ac:dyDescent="0.25">
      <c r="A5">
        <v>2019</v>
      </c>
      <c r="B5" s="357">
        <v>20156</v>
      </c>
    </row>
    <row r="6" spans="1:4" x14ac:dyDescent="0.25">
      <c r="A6">
        <v>2020</v>
      </c>
      <c r="B6" s="357">
        <v>24996</v>
      </c>
    </row>
    <row r="7" spans="1:4" x14ac:dyDescent="0.25">
      <c r="A7">
        <v>2021</v>
      </c>
      <c r="B7" s="357">
        <v>29698</v>
      </c>
    </row>
    <row r="8" spans="1:4" x14ac:dyDescent="0.25">
      <c r="A8">
        <v>2022</v>
      </c>
      <c r="C8" s="357">
        <f t="shared" ref="C8:C14" si="0">_xlfn.FORECAST.ETS(A8,$B$2:$B$7,$A$2:$A$7,1,1)</f>
        <v>34000.389551684231</v>
      </c>
      <c r="D8" s="357">
        <f t="shared" ref="D8:D14" si="1">_xlfn.FORECAST.ETS.CONFINT(A8,$B$2:$B$7,$A$2:$A$7,0.99,1,1)</f>
        <v>1747.9472863454632</v>
      </c>
    </row>
    <row r="9" spans="1:4" x14ac:dyDescent="0.25">
      <c r="A9">
        <v>2023</v>
      </c>
      <c r="C9" s="357">
        <f t="shared" si="0"/>
        <v>38343.650919444539</v>
      </c>
      <c r="D9" s="357">
        <f t="shared" si="1"/>
        <v>2352.7922382741535</v>
      </c>
    </row>
    <row r="10" spans="1:4" x14ac:dyDescent="0.25">
      <c r="A10">
        <v>2024</v>
      </c>
      <c r="C10" s="357">
        <f t="shared" si="0"/>
        <v>42686.912287204854</v>
      </c>
      <c r="D10" s="357">
        <f t="shared" si="1"/>
        <v>2832.2167393353566</v>
      </c>
    </row>
    <row r="11" spans="1:4" x14ac:dyDescent="0.25">
      <c r="A11">
        <v>2025</v>
      </c>
      <c r="C11" s="357">
        <f t="shared" si="0"/>
        <v>47030.173654965169</v>
      </c>
      <c r="D11" s="357">
        <f t="shared" si="1"/>
        <v>3242.3428030895798</v>
      </c>
    </row>
    <row r="12" spans="1:4" x14ac:dyDescent="0.25">
      <c r="A12">
        <v>2026</v>
      </c>
      <c r="C12" s="357">
        <f t="shared" si="0"/>
        <v>51373.435022725484</v>
      </c>
      <c r="D12" s="357">
        <f t="shared" si="1"/>
        <v>3606.8882724099881</v>
      </c>
    </row>
    <row r="13" spans="1:4" x14ac:dyDescent="0.25">
      <c r="A13">
        <v>2027</v>
      </c>
      <c r="C13" s="357">
        <f t="shared" si="0"/>
        <v>55716.696390485798</v>
      </c>
      <c r="D13" s="357">
        <f t="shared" si="1"/>
        <v>3938.5309748580867</v>
      </c>
    </row>
    <row r="14" spans="1:4" x14ac:dyDescent="0.25">
      <c r="A14">
        <v>2028</v>
      </c>
      <c r="C14" s="357">
        <f t="shared" si="0"/>
        <v>60059.957758246106</v>
      </c>
      <c r="D14" s="357">
        <f t="shared" si="1"/>
        <v>4244.9903008357815</v>
      </c>
    </row>
  </sheetData>
  <pageMargins left="0.7" right="0.7" top="0.75" bottom="0.75" header="0.3" footer="0.3"/>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F5A6-8024-4823-B6A5-D30E30F92BDA}">
  <dimension ref="A1:J154"/>
  <sheetViews>
    <sheetView workbookViewId="0">
      <selection activeCell="F36" sqref="F36"/>
    </sheetView>
  </sheetViews>
  <sheetFormatPr defaultRowHeight="15" x14ac:dyDescent="0.25"/>
  <cols>
    <col min="1" max="1" width="23.140625" style="351" bestFit="1" customWidth="1"/>
    <col min="2" max="2" width="15.28515625" bestFit="1" customWidth="1"/>
    <col min="3" max="3" width="18.140625" bestFit="1" customWidth="1"/>
    <col min="4" max="4" width="20.7109375" bestFit="1" customWidth="1"/>
    <col min="5" max="5" width="11.42578125" bestFit="1" customWidth="1"/>
    <col min="6" max="6" width="12.140625" bestFit="1" customWidth="1"/>
    <col min="7" max="8" width="14.85546875" bestFit="1" customWidth="1"/>
    <col min="9" max="9" width="14.140625" bestFit="1" customWidth="1"/>
    <col min="10" max="10" width="7.42578125" bestFit="1" customWidth="1"/>
  </cols>
  <sheetData>
    <row r="1" spans="1:10" ht="15.75" thickBot="1" x14ac:dyDescent="0.3">
      <c r="A1" s="350" t="s">
        <v>337</v>
      </c>
      <c r="B1" s="347" t="s">
        <v>338</v>
      </c>
      <c r="C1" s="347" t="s">
        <v>339</v>
      </c>
      <c r="D1" s="347" t="s">
        <v>340</v>
      </c>
      <c r="E1" s="347" t="s">
        <v>341</v>
      </c>
      <c r="F1" s="347" t="s">
        <v>342</v>
      </c>
      <c r="G1" s="347" t="s">
        <v>343</v>
      </c>
      <c r="H1" s="347" t="s">
        <v>344</v>
      </c>
      <c r="I1" s="347" t="s">
        <v>345</v>
      </c>
      <c r="J1" s="347" t="s">
        <v>74</v>
      </c>
    </row>
    <row r="2" spans="1:10" ht="15.75" thickBot="1" x14ac:dyDescent="0.3">
      <c r="A2" s="352" t="s">
        <v>346</v>
      </c>
      <c r="B2" s="348" t="s">
        <v>347</v>
      </c>
      <c r="C2" s="349">
        <v>1409778724</v>
      </c>
      <c r="D2" s="348">
        <v>2.7</v>
      </c>
      <c r="E2" s="349">
        <v>522689264</v>
      </c>
      <c r="F2" s="348">
        <v>14.53</v>
      </c>
      <c r="G2" s="348">
        <v>51.23</v>
      </c>
      <c r="H2" s="348">
        <v>27.6</v>
      </c>
      <c r="I2" s="348">
        <v>6.64</v>
      </c>
      <c r="J2" s="352" t="s">
        <v>348</v>
      </c>
    </row>
    <row r="3" spans="1:10" ht="15.75" thickBot="1" x14ac:dyDescent="0.3">
      <c r="A3" s="352" t="s">
        <v>349</v>
      </c>
      <c r="B3" s="348" t="s">
        <v>347</v>
      </c>
      <c r="C3" s="349">
        <v>1369756319</v>
      </c>
      <c r="D3" s="348">
        <v>4.57</v>
      </c>
      <c r="E3" s="349">
        <v>299727860</v>
      </c>
      <c r="F3" s="348">
        <v>4.1100000000000003</v>
      </c>
      <c r="G3" s="348">
        <v>27.31</v>
      </c>
      <c r="H3" s="348">
        <v>41.64</v>
      </c>
      <c r="I3" s="348">
        <v>26.94</v>
      </c>
      <c r="J3" s="352" t="s">
        <v>350</v>
      </c>
    </row>
    <row r="4" spans="1:10" ht="15.75" thickBot="1" x14ac:dyDescent="0.3">
      <c r="A4" s="352" t="s">
        <v>351</v>
      </c>
      <c r="B4" s="348" t="s">
        <v>352</v>
      </c>
      <c r="C4" s="349">
        <v>330662999</v>
      </c>
      <c r="D4" s="348">
        <v>2.4900000000000002</v>
      </c>
      <c r="E4" s="349">
        <v>132736055</v>
      </c>
      <c r="F4" s="348">
        <v>27.89</v>
      </c>
      <c r="G4" s="348">
        <v>49.49</v>
      </c>
      <c r="H4" s="348">
        <v>18.809999999999999</v>
      </c>
      <c r="I4" s="348">
        <v>3.81</v>
      </c>
      <c r="J4" s="352" t="s">
        <v>350</v>
      </c>
    </row>
    <row r="5" spans="1:10" ht="15.75" thickBot="1" x14ac:dyDescent="0.3">
      <c r="A5" s="352" t="s">
        <v>353</v>
      </c>
      <c r="B5" s="348" t="s">
        <v>347</v>
      </c>
      <c r="C5" s="349">
        <v>269603400</v>
      </c>
      <c r="D5" s="348">
        <v>3.86</v>
      </c>
      <c r="E5" s="349">
        <v>69855344</v>
      </c>
      <c r="F5" s="348">
        <v>7.1</v>
      </c>
      <c r="G5" s="348">
        <v>36.619999999999997</v>
      </c>
      <c r="H5" s="348">
        <v>41.5</v>
      </c>
      <c r="I5" s="348">
        <v>14.78</v>
      </c>
      <c r="J5" s="352" t="s">
        <v>354</v>
      </c>
    </row>
    <row r="6" spans="1:10" ht="15.75" thickBot="1" x14ac:dyDescent="0.3">
      <c r="A6" s="352" t="s">
        <v>355</v>
      </c>
      <c r="B6" s="348" t="s">
        <v>356</v>
      </c>
      <c r="C6" s="349">
        <v>212347290</v>
      </c>
      <c r="D6" s="348">
        <v>3.31</v>
      </c>
      <c r="E6" s="349">
        <v>64124398</v>
      </c>
      <c r="F6" s="348">
        <v>12</v>
      </c>
      <c r="G6" s="348">
        <v>47.27</v>
      </c>
      <c r="H6" s="348">
        <v>31.91</v>
      </c>
      <c r="I6" s="348">
        <v>8.82</v>
      </c>
      <c r="J6" s="352" t="s">
        <v>357</v>
      </c>
    </row>
    <row r="7" spans="1:10" ht="15.75" thickBot="1" x14ac:dyDescent="0.3">
      <c r="A7" s="352" t="s">
        <v>358</v>
      </c>
      <c r="B7" s="348" t="s">
        <v>359</v>
      </c>
      <c r="C7" s="349">
        <v>146748590</v>
      </c>
      <c r="D7" s="348">
        <v>2.58</v>
      </c>
      <c r="E7" s="349">
        <v>56771478</v>
      </c>
      <c r="F7" s="348">
        <v>25.97</v>
      </c>
      <c r="G7" s="348">
        <v>50.83</v>
      </c>
      <c r="H7" s="348">
        <v>19.55</v>
      </c>
      <c r="I7" s="348">
        <v>3.65</v>
      </c>
      <c r="J7" s="352" t="s">
        <v>357</v>
      </c>
    </row>
    <row r="8" spans="1:10" ht="15.75" thickBot="1" x14ac:dyDescent="0.3">
      <c r="A8" s="352" t="s">
        <v>360</v>
      </c>
      <c r="B8" s="348" t="s">
        <v>347</v>
      </c>
      <c r="C8" s="349">
        <v>125800000</v>
      </c>
      <c r="D8" s="348">
        <v>2.2599999999999998</v>
      </c>
      <c r="E8" s="349">
        <v>55704949</v>
      </c>
      <c r="F8" s="348">
        <v>37.97</v>
      </c>
      <c r="G8" s="348">
        <v>44.67</v>
      </c>
      <c r="H8" s="348">
        <v>15.72</v>
      </c>
      <c r="I8" s="348">
        <v>1.64</v>
      </c>
      <c r="J8" s="352" t="s">
        <v>348</v>
      </c>
    </row>
    <row r="9" spans="1:10" ht="15.75" thickBot="1" x14ac:dyDescent="0.3">
      <c r="A9" s="352" t="s">
        <v>361</v>
      </c>
      <c r="B9" s="348" t="s">
        <v>362</v>
      </c>
      <c r="C9" s="349">
        <v>206139587</v>
      </c>
      <c r="D9" s="348">
        <v>4.9000000000000004</v>
      </c>
      <c r="E9" s="349">
        <v>42057041</v>
      </c>
      <c r="F9" s="348">
        <v>11.51</v>
      </c>
      <c r="G9" s="348">
        <v>25.53</v>
      </c>
      <c r="H9" s="348">
        <v>27.86</v>
      </c>
      <c r="I9" s="348">
        <v>35.1</v>
      </c>
      <c r="J9" s="352" t="s">
        <v>350</v>
      </c>
    </row>
    <row r="10" spans="1:10" ht="15.75" thickBot="1" x14ac:dyDescent="0.3">
      <c r="A10" s="352" t="s">
        <v>363</v>
      </c>
      <c r="B10" s="348" t="s">
        <v>359</v>
      </c>
      <c r="C10" s="349">
        <v>83122889</v>
      </c>
      <c r="D10" s="348">
        <v>2.0499999999999998</v>
      </c>
      <c r="E10" s="349">
        <v>40624971</v>
      </c>
      <c r="F10" s="348">
        <v>39.53</v>
      </c>
      <c r="G10" s="348">
        <v>47</v>
      </c>
      <c r="H10" s="348">
        <v>12.71</v>
      </c>
      <c r="I10" s="348">
        <v>0.76</v>
      </c>
      <c r="J10" s="352" t="s">
        <v>364</v>
      </c>
    </row>
    <row r="11" spans="1:10" ht="15.75" thickBot="1" x14ac:dyDescent="0.3">
      <c r="A11" s="352" t="s">
        <v>365</v>
      </c>
      <c r="B11" s="348" t="s">
        <v>347</v>
      </c>
      <c r="C11" s="349">
        <v>169660274</v>
      </c>
      <c r="D11" s="348">
        <v>4.47</v>
      </c>
      <c r="E11" s="349">
        <v>37957746</v>
      </c>
      <c r="F11" s="348">
        <v>1.74</v>
      </c>
      <c r="G11" s="348">
        <v>29.71</v>
      </c>
      <c r="H11" s="348">
        <v>45.59</v>
      </c>
      <c r="I11" s="348">
        <v>22.96</v>
      </c>
      <c r="J11" s="352" t="s">
        <v>366</v>
      </c>
    </row>
    <row r="12" spans="1:10" ht="15.75" thickBot="1" x14ac:dyDescent="0.3">
      <c r="A12" s="352" t="s">
        <v>367</v>
      </c>
      <c r="B12" s="348" t="s">
        <v>352</v>
      </c>
      <c r="C12" s="349">
        <v>127792286</v>
      </c>
      <c r="D12" s="348">
        <v>3.74</v>
      </c>
      <c r="E12" s="349">
        <v>34167462</v>
      </c>
      <c r="F12" s="348">
        <v>10.08</v>
      </c>
      <c r="G12" s="348">
        <v>37.68</v>
      </c>
      <c r="H12" s="348">
        <v>37.75</v>
      </c>
      <c r="I12" s="348">
        <v>14.49</v>
      </c>
      <c r="J12" s="352" t="s">
        <v>350</v>
      </c>
    </row>
    <row r="13" spans="1:10" ht="15.75" thickBot="1" x14ac:dyDescent="0.3">
      <c r="A13" s="352" t="s">
        <v>368</v>
      </c>
      <c r="B13" s="348" t="s">
        <v>347</v>
      </c>
      <c r="C13" s="349">
        <v>220892331</v>
      </c>
      <c r="D13" s="348">
        <v>6.8</v>
      </c>
      <c r="E13" s="349">
        <v>32462785</v>
      </c>
      <c r="F13" s="348">
        <v>1.08</v>
      </c>
      <c r="G13" s="348">
        <v>12.88</v>
      </c>
      <c r="H13" s="348">
        <v>25.16</v>
      </c>
      <c r="I13" s="348">
        <v>60.88</v>
      </c>
      <c r="J13" s="352" t="s">
        <v>369</v>
      </c>
    </row>
    <row r="14" spans="1:10" ht="15.75" thickBot="1" x14ac:dyDescent="0.3">
      <c r="A14" s="352" t="s">
        <v>370</v>
      </c>
      <c r="B14" s="348" t="s">
        <v>359</v>
      </c>
      <c r="C14" s="349">
        <v>67146000</v>
      </c>
      <c r="D14" s="348">
        <v>2.2200000000000002</v>
      </c>
      <c r="E14" s="349">
        <v>30217950</v>
      </c>
      <c r="F14" s="348">
        <v>35.46</v>
      </c>
      <c r="G14" s="348">
        <v>46.84</v>
      </c>
      <c r="H14" s="348">
        <v>16.079999999999998</v>
      </c>
      <c r="I14" s="348">
        <v>1.62</v>
      </c>
      <c r="J14" s="352" t="s">
        <v>350</v>
      </c>
    </row>
    <row r="15" spans="1:10" ht="15.75" thickBot="1" x14ac:dyDescent="0.3">
      <c r="A15" s="352" t="s">
        <v>371</v>
      </c>
      <c r="B15" s="348" t="s">
        <v>359</v>
      </c>
      <c r="C15" s="349">
        <v>66796807</v>
      </c>
      <c r="D15" s="348">
        <v>2.27</v>
      </c>
      <c r="E15" s="349">
        <v>29486179</v>
      </c>
      <c r="F15" s="348">
        <v>33.01</v>
      </c>
      <c r="G15" s="348">
        <v>48.96</v>
      </c>
      <c r="H15" s="348">
        <v>16.239999999999998</v>
      </c>
      <c r="I15" s="348">
        <v>1.79</v>
      </c>
      <c r="J15" s="352" t="s">
        <v>364</v>
      </c>
    </row>
    <row r="16" spans="1:10" ht="15.75" thickBot="1" x14ac:dyDescent="0.3">
      <c r="A16" s="352" t="s">
        <v>372</v>
      </c>
      <c r="B16" s="348" t="s">
        <v>347</v>
      </c>
      <c r="C16" s="349">
        <v>109441605</v>
      </c>
      <c r="D16" s="348">
        <v>4.2300000000000004</v>
      </c>
      <c r="E16" s="349">
        <v>25893157</v>
      </c>
      <c r="F16" s="348">
        <v>9.18</v>
      </c>
      <c r="G16" s="348">
        <v>30.05</v>
      </c>
      <c r="H16" s="348">
        <v>36.82</v>
      </c>
      <c r="I16" s="348">
        <v>23.95</v>
      </c>
      <c r="J16" s="352" t="s">
        <v>354</v>
      </c>
    </row>
    <row r="17" spans="1:10" ht="15.75" thickBot="1" x14ac:dyDescent="0.3">
      <c r="A17" s="352" t="s">
        <v>373</v>
      </c>
      <c r="B17" s="348" t="s">
        <v>347</v>
      </c>
      <c r="C17" s="349">
        <v>96483981</v>
      </c>
      <c r="D17" s="348">
        <v>3.78</v>
      </c>
      <c r="E17" s="349">
        <v>25503951</v>
      </c>
      <c r="F17" s="348">
        <v>7.28</v>
      </c>
      <c r="G17" s="348">
        <v>36.25</v>
      </c>
      <c r="H17" s="348">
        <v>43.44</v>
      </c>
      <c r="I17" s="348">
        <v>13.02</v>
      </c>
      <c r="J17" s="352" t="s">
        <v>374</v>
      </c>
    </row>
    <row r="18" spans="1:10" ht="15.75" thickBot="1" x14ac:dyDescent="0.3">
      <c r="A18" s="352" t="s">
        <v>375</v>
      </c>
      <c r="B18" s="348" t="s">
        <v>359</v>
      </c>
      <c r="C18" s="349">
        <v>60026546</v>
      </c>
      <c r="D18" s="348">
        <v>2.4</v>
      </c>
      <c r="E18" s="349">
        <v>25020120</v>
      </c>
      <c r="F18" s="348">
        <v>31.1</v>
      </c>
      <c r="G18" s="348">
        <v>46.56</v>
      </c>
      <c r="H18" s="348">
        <v>21.29</v>
      </c>
      <c r="I18" s="348">
        <v>1.05</v>
      </c>
      <c r="J18" s="352" t="s">
        <v>364</v>
      </c>
    </row>
    <row r="19" spans="1:10" ht="15.75" thickBot="1" x14ac:dyDescent="0.3">
      <c r="A19" s="352" t="s">
        <v>376</v>
      </c>
      <c r="B19" s="348" t="s">
        <v>362</v>
      </c>
      <c r="C19" s="349">
        <v>101189802</v>
      </c>
      <c r="D19" s="348">
        <v>4.13</v>
      </c>
      <c r="E19" s="349">
        <v>24496076</v>
      </c>
      <c r="F19" s="348">
        <v>6.48</v>
      </c>
      <c r="G19" s="348">
        <v>30.4</v>
      </c>
      <c r="H19" s="348">
        <v>43.12</v>
      </c>
      <c r="I19" s="348">
        <v>20</v>
      </c>
      <c r="J19" s="352" t="s">
        <v>366</v>
      </c>
    </row>
    <row r="20" spans="1:10" ht="15.75" thickBot="1" x14ac:dyDescent="0.3">
      <c r="A20" s="352" t="s">
        <v>377</v>
      </c>
      <c r="B20" s="348" t="s">
        <v>378</v>
      </c>
      <c r="C20" s="349">
        <v>83955821</v>
      </c>
      <c r="D20" s="348">
        <v>3.49</v>
      </c>
      <c r="E20" s="349">
        <v>24056109</v>
      </c>
      <c r="F20" s="348">
        <v>8.48</v>
      </c>
      <c r="G20" s="348">
        <v>49.13</v>
      </c>
      <c r="H20" s="348">
        <v>37.86</v>
      </c>
      <c r="I20" s="348">
        <v>4.53</v>
      </c>
      <c r="J20" s="352" t="s">
        <v>379</v>
      </c>
    </row>
    <row r="21" spans="1:10" ht="15.75" thickBot="1" x14ac:dyDescent="0.3">
      <c r="A21" s="352" t="s">
        <v>380</v>
      </c>
      <c r="B21" s="348" t="s">
        <v>362</v>
      </c>
      <c r="C21" s="349">
        <v>100829000</v>
      </c>
      <c r="D21" s="348">
        <v>4.6100000000000003</v>
      </c>
      <c r="E21" s="349">
        <v>21850103</v>
      </c>
      <c r="F21" s="348">
        <v>7.52</v>
      </c>
      <c r="G21" s="348">
        <v>27.01</v>
      </c>
      <c r="H21" s="348">
        <v>32</v>
      </c>
      <c r="I21" s="348">
        <v>33.47</v>
      </c>
      <c r="J21" s="352" t="s">
        <v>379</v>
      </c>
    </row>
    <row r="22" spans="1:10" ht="15.75" thickBot="1" x14ac:dyDescent="0.3">
      <c r="A22" s="352" t="s">
        <v>381</v>
      </c>
      <c r="B22" s="348" t="s">
        <v>347</v>
      </c>
      <c r="C22" s="349">
        <v>51841786</v>
      </c>
      <c r="D22" s="348">
        <v>2.5299999999999998</v>
      </c>
      <c r="E22" s="349">
        <v>20495634</v>
      </c>
      <c r="F22" s="348">
        <v>27.23</v>
      </c>
      <c r="G22" s="348">
        <v>47.59</v>
      </c>
      <c r="H22" s="348">
        <v>23.7</v>
      </c>
      <c r="I22" s="348">
        <v>1.48</v>
      </c>
      <c r="J22" s="352" t="s">
        <v>350</v>
      </c>
    </row>
    <row r="23" spans="1:10" ht="15.75" thickBot="1" x14ac:dyDescent="0.3">
      <c r="A23" s="352" t="s">
        <v>382</v>
      </c>
      <c r="B23" s="348" t="s">
        <v>347</v>
      </c>
      <c r="C23" s="349">
        <v>83154997</v>
      </c>
      <c r="D23" s="348">
        <v>4.07</v>
      </c>
      <c r="E23" s="349">
        <v>20424610</v>
      </c>
      <c r="F23" s="348">
        <v>6.37</v>
      </c>
      <c r="G23" s="348">
        <v>36.229999999999997</v>
      </c>
      <c r="H23" s="348">
        <v>39.03</v>
      </c>
      <c r="I23" s="348">
        <v>18.36</v>
      </c>
      <c r="J23" s="352" t="s">
        <v>383</v>
      </c>
    </row>
    <row r="24" spans="1:10" ht="15.75" thickBot="1" x14ac:dyDescent="0.3">
      <c r="A24" s="352" t="s">
        <v>384</v>
      </c>
      <c r="B24" s="348" t="s">
        <v>362</v>
      </c>
      <c r="C24" s="349">
        <v>101935800</v>
      </c>
      <c r="D24" s="348">
        <v>5.3</v>
      </c>
      <c r="E24" s="349">
        <v>19225670</v>
      </c>
      <c r="F24" s="348">
        <v>7.25</v>
      </c>
      <c r="G24" s="348">
        <v>21.19</v>
      </c>
      <c r="H24" s="348">
        <v>27.81</v>
      </c>
      <c r="I24" s="348">
        <v>43.74</v>
      </c>
      <c r="J24" s="352" t="s">
        <v>369</v>
      </c>
    </row>
    <row r="25" spans="1:10" ht="15.75" thickBot="1" x14ac:dyDescent="0.3">
      <c r="A25" s="352" t="s">
        <v>385</v>
      </c>
      <c r="B25" s="348" t="s">
        <v>347</v>
      </c>
      <c r="C25" s="349">
        <v>66577342</v>
      </c>
      <c r="D25" s="348">
        <v>3.69</v>
      </c>
      <c r="E25" s="349">
        <v>18042640</v>
      </c>
      <c r="F25" s="348">
        <v>18.36</v>
      </c>
      <c r="G25" s="348">
        <v>44.71</v>
      </c>
      <c r="H25" s="348">
        <v>28.16</v>
      </c>
      <c r="I25" s="348">
        <v>8.77</v>
      </c>
      <c r="J25" s="352" t="s">
        <v>357</v>
      </c>
    </row>
    <row r="26" spans="1:10" ht="15.75" thickBot="1" x14ac:dyDescent="0.3">
      <c r="A26" s="352" t="s">
        <v>386</v>
      </c>
      <c r="B26" s="348" t="s">
        <v>362</v>
      </c>
      <c r="C26" s="349">
        <v>59622350</v>
      </c>
      <c r="D26" s="348">
        <v>3.36</v>
      </c>
      <c r="E26" s="349">
        <v>17733119</v>
      </c>
      <c r="F26" s="348">
        <v>23.84</v>
      </c>
      <c r="G26" s="348">
        <v>36.32</v>
      </c>
      <c r="H26" s="348">
        <v>24.66</v>
      </c>
      <c r="I26" s="348">
        <v>15.17</v>
      </c>
      <c r="J26" s="352" t="s">
        <v>379</v>
      </c>
    </row>
    <row r="27" spans="1:10" ht="15.75" thickBot="1" x14ac:dyDescent="0.3">
      <c r="A27" s="352" t="s">
        <v>387</v>
      </c>
      <c r="B27" s="348" t="s">
        <v>359</v>
      </c>
      <c r="C27" s="349">
        <v>47329981</v>
      </c>
      <c r="D27" s="348">
        <v>2.69</v>
      </c>
      <c r="E27" s="349">
        <v>17565288</v>
      </c>
      <c r="F27" s="348">
        <v>19.059999999999999</v>
      </c>
      <c r="G27" s="348">
        <v>53.4</v>
      </c>
      <c r="H27" s="348">
        <v>25.56</v>
      </c>
      <c r="I27" s="348">
        <v>1.98</v>
      </c>
      <c r="J27" s="352" t="s">
        <v>364</v>
      </c>
    </row>
    <row r="28" spans="1:10" ht="15.75" thickBot="1" x14ac:dyDescent="0.3">
      <c r="A28" s="352" t="s">
        <v>388</v>
      </c>
      <c r="B28" s="348" t="s">
        <v>359</v>
      </c>
      <c r="C28" s="349">
        <v>41723998</v>
      </c>
      <c r="D28" s="348">
        <v>2.46</v>
      </c>
      <c r="E28" s="349">
        <v>16972715</v>
      </c>
      <c r="F28" s="348">
        <v>27.9</v>
      </c>
      <c r="G28" s="348">
        <v>51.22</v>
      </c>
      <c r="H28" s="348">
        <v>18.07</v>
      </c>
      <c r="I28" s="348">
        <v>2.81</v>
      </c>
      <c r="J28" s="352" t="s">
        <v>389</v>
      </c>
    </row>
    <row r="29" spans="1:10" ht="15.75" thickBot="1" x14ac:dyDescent="0.3">
      <c r="A29" s="352" t="s">
        <v>390</v>
      </c>
      <c r="B29" s="348" t="s">
        <v>352</v>
      </c>
      <c r="C29" s="349">
        <v>38246955</v>
      </c>
      <c r="D29" s="348">
        <v>2.4500000000000002</v>
      </c>
      <c r="E29" s="349">
        <v>15618491</v>
      </c>
      <c r="F29" s="348">
        <v>28.2</v>
      </c>
      <c r="G29" s="348">
        <v>49.59</v>
      </c>
      <c r="H29" s="348">
        <v>19.2</v>
      </c>
      <c r="I29" s="348">
        <v>3.02</v>
      </c>
      <c r="J29" s="352" t="s">
        <v>379</v>
      </c>
    </row>
    <row r="30" spans="1:10" ht="15.75" thickBot="1" x14ac:dyDescent="0.3">
      <c r="A30" s="352" t="s">
        <v>391</v>
      </c>
      <c r="B30" s="348" t="s">
        <v>356</v>
      </c>
      <c r="C30" s="349">
        <v>50372424</v>
      </c>
      <c r="D30" s="348">
        <v>3.53</v>
      </c>
      <c r="E30" s="349">
        <v>14282545</v>
      </c>
      <c r="F30" s="348">
        <v>11.13</v>
      </c>
      <c r="G30" s="348">
        <v>42.41</v>
      </c>
      <c r="H30" s="348">
        <v>34.799999999999997</v>
      </c>
      <c r="I30" s="348">
        <v>11.66</v>
      </c>
      <c r="J30" s="352" t="s">
        <v>350</v>
      </c>
    </row>
    <row r="31" spans="1:10" ht="15.75" thickBot="1" x14ac:dyDescent="0.3">
      <c r="A31" s="352" t="s">
        <v>392</v>
      </c>
      <c r="B31" s="348" t="s">
        <v>356</v>
      </c>
      <c r="C31" s="349">
        <v>45376763</v>
      </c>
      <c r="D31" s="348">
        <v>3.26</v>
      </c>
      <c r="E31" s="349">
        <v>13925275</v>
      </c>
      <c r="F31" s="348">
        <v>17.600000000000001</v>
      </c>
      <c r="G31" s="348">
        <v>42.33</v>
      </c>
      <c r="H31" s="348">
        <v>28.95</v>
      </c>
      <c r="I31" s="348">
        <v>11.12</v>
      </c>
      <c r="J31" s="352" t="s">
        <v>357</v>
      </c>
    </row>
    <row r="32" spans="1:10" ht="15.75" thickBot="1" x14ac:dyDescent="0.3">
      <c r="A32" s="352" t="s">
        <v>393</v>
      </c>
      <c r="B32" s="348" t="s">
        <v>359</v>
      </c>
      <c r="C32" s="349">
        <v>38352000</v>
      </c>
      <c r="D32" s="348">
        <v>2.81</v>
      </c>
      <c r="E32" s="349">
        <v>13666831</v>
      </c>
      <c r="F32" s="348">
        <v>20.67</v>
      </c>
      <c r="G32" s="348">
        <v>49.49</v>
      </c>
      <c r="H32" s="348">
        <v>24.8</v>
      </c>
      <c r="I32" s="348">
        <v>5.04</v>
      </c>
      <c r="J32" s="352" t="s">
        <v>364</v>
      </c>
    </row>
    <row r="33" spans="1:10" ht="15.75" thickBot="1" x14ac:dyDescent="0.3">
      <c r="A33" s="352" t="s">
        <v>394</v>
      </c>
      <c r="B33" s="348" t="s">
        <v>362</v>
      </c>
      <c r="C33" s="349">
        <v>47564296</v>
      </c>
      <c r="D33" s="348">
        <v>3.64</v>
      </c>
      <c r="E33" s="349">
        <v>13071338</v>
      </c>
      <c r="F33" s="348">
        <v>21.6</v>
      </c>
      <c r="G33" s="348">
        <v>31.06</v>
      </c>
      <c r="H33" s="348">
        <v>27.84</v>
      </c>
      <c r="I33" s="348">
        <v>19.489999999999998</v>
      </c>
      <c r="J33" s="352" t="s">
        <v>350</v>
      </c>
    </row>
    <row r="34" spans="1:10" ht="15.75" thickBot="1" x14ac:dyDescent="0.3">
      <c r="A34" s="352" t="s">
        <v>395</v>
      </c>
      <c r="B34" s="348" t="s">
        <v>347</v>
      </c>
      <c r="C34" s="349">
        <v>54817919</v>
      </c>
      <c r="D34" s="348">
        <v>4.22</v>
      </c>
      <c r="E34" s="349">
        <v>12978359</v>
      </c>
      <c r="F34" s="348">
        <v>5.35</v>
      </c>
      <c r="G34" s="348">
        <v>33.49</v>
      </c>
      <c r="H34" s="348">
        <v>39.14</v>
      </c>
      <c r="I34" s="348">
        <v>22.01</v>
      </c>
      <c r="J34" s="352" t="s">
        <v>379</v>
      </c>
    </row>
    <row r="35" spans="1:10" ht="15.75" thickBot="1" x14ac:dyDescent="0.3">
      <c r="A35" s="352" t="s">
        <v>396</v>
      </c>
      <c r="B35" s="348" t="s">
        <v>362</v>
      </c>
      <c r="C35" s="349">
        <v>57637628</v>
      </c>
      <c r="D35" s="348">
        <v>4.8499999999999996</v>
      </c>
      <c r="E35" s="349">
        <v>11880255</v>
      </c>
      <c r="F35" s="348">
        <v>9.6300000000000008</v>
      </c>
      <c r="G35" s="348">
        <v>25.77</v>
      </c>
      <c r="H35" s="348">
        <v>29.99</v>
      </c>
      <c r="I35" s="348">
        <v>34.6</v>
      </c>
      <c r="J35" s="352" t="s">
        <v>350</v>
      </c>
    </row>
    <row r="36" spans="1:10" ht="15.75" thickBot="1" x14ac:dyDescent="0.3">
      <c r="A36" s="352" t="s">
        <v>397</v>
      </c>
      <c r="B36" s="348" t="s">
        <v>398</v>
      </c>
      <c r="C36" s="349">
        <v>25598869</v>
      </c>
      <c r="D36" s="348">
        <v>2.5</v>
      </c>
      <c r="E36" s="349">
        <v>10220186</v>
      </c>
      <c r="F36" s="348">
        <v>24.34</v>
      </c>
      <c r="G36" s="348">
        <v>49.95</v>
      </c>
      <c r="H36" s="348">
        <v>22.44</v>
      </c>
      <c r="I36" s="348">
        <v>3.27</v>
      </c>
      <c r="J36" s="352" t="s">
        <v>364</v>
      </c>
    </row>
    <row r="37" spans="1:10" ht="15.75" thickBot="1" x14ac:dyDescent="0.3">
      <c r="A37" s="352" t="s">
        <v>399</v>
      </c>
      <c r="B37" s="348" t="s">
        <v>362</v>
      </c>
      <c r="C37" s="349">
        <v>41583600</v>
      </c>
      <c r="D37" s="348">
        <v>4.53</v>
      </c>
      <c r="E37" s="349">
        <v>9170821</v>
      </c>
      <c r="F37" s="348">
        <v>13.68</v>
      </c>
      <c r="G37" s="348">
        <v>25.3</v>
      </c>
      <c r="H37" s="348">
        <v>28.75</v>
      </c>
      <c r="I37" s="348">
        <v>32.26</v>
      </c>
      <c r="J37" s="352" t="s">
        <v>379</v>
      </c>
    </row>
    <row r="38" spans="1:10" ht="15.75" thickBot="1" x14ac:dyDescent="0.3">
      <c r="A38" s="352" t="s">
        <v>400</v>
      </c>
      <c r="B38" s="348" t="s">
        <v>362</v>
      </c>
      <c r="C38" s="349">
        <v>30955202</v>
      </c>
      <c r="D38" s="348">
        <v>3.49</v>
      </c>
      <c r="E38" s="349">
        <v>8862356</v>
      </c>
      <c r="F38" s="348">
        <v>25.88</v>
      </c>
      <c r="G38" s="348">
        <v>30.34</v>
      </c>
      <c r="H38" s="348">
        <v>25.3</v>
      </c>
      <c r="I38" s="348">
        <v>18.48</v>
      </c>
      <c r="J38" s="352" t="s">
        <v>366</v>
      </c>
    </row>
    <row r="39" spans="1:10" ht="15.75" thickBot="1" x14ac:dyDescent="0.3">
      <c r="A39" s="352" t="s">
        <v>401</v>
      </c>
      <c r="B39" s="348" t="s">
        <v>356</v>
      </c>
      <c r="C39" s="349">
        <v>32625948</v>
      </c>
      <c r="D39" s="348">
        <v>3.75</v>
      </c>
      <c r="E39" s="349">
        <v>8695193</v>
      </c>
      <c r="F39" s="348">
        <v>12.91</v>
      </c>
      <c r="G39" s="348">
        <v>34.68</v>
      </c>
      <c r="H39" s="348">
        <v>36.020000000000003</v>
      </c>
      <c r="I39" s="348">
        <v>16.39</v>
      </c>
      <c r="J39" s="352" t="s">
        <v>402</v>
      </c>
    </row>
    <row r="40" spans="1:10" ht="15.75" thickBot="1" x14ac:dyDescent="0.3">
      <c r="A40" s="352" t="s">
        <v>403</v>
      </c>
      <c r="B40" s="348" t="s">
        <v>359</v>
      </c>
      <c r="C40" s="349">
        <v>17531181</v>
      </c>
      <c r="D40" s="348">
        <v>2.23</v>
      </c>
      <c r="E40" s="349">
        <v>7874258</v>
      </c>
      <c r="F40" s="348">
        <v>35.11</v>
      </c>
      <c r="G40" s="348">
        <v>45.53</v>
      </c>
      <c r="H40" s="348">
        <v>18.010000000000002</v>
      </c>
      <c r="I40" s="348">
        <v>1.35</v>
      </c>
      <c r="J40" s="352" t="s">
        <v>364</v>
      </c>
    </row>
    <row r="41" spans="1:10" ht="15.75" thickBot="1" x14ac:dyDescent="0.3">
      <c r="A41" s="352" t="s">
        <v>404</v>
      </c>
      <c r="B41" s="348" t="s">
        <v>362</v>
      </c>
      <c r="C41" s="349">
        <v>42996555</v>
      </c>
      <c r="D41" s="348">
        <v>5.59</v>
      </c>
      <c r="E41" s="349">
        <v>7691174</v>
      </c>
      <c r="F41" s="348">
        <v>5.0599999999999996</v>
      </c>
      <c r="G41" s="348">
        <v>20.66</v>
      </c>
      <c r="H41" s="348">
        <v>26.8</v>
      </c>
      <c r="I41" s="348">
        <v>47.48</v>
      </c>
      <c r="J41" s="352" t="s">
        <v>405</v>
      </c>
    </row>
    <row r="42" spans="1:10" ht="15.75" thickBot="1" x14ac:dyDescent="0.3">
      <c r="A42" s="352" t="s">
        <v>406</v>
      </c>
      <c r="B42" s="348" t="s">
        <v>347</v>
      </c>
      <c r="C42" s="349">
        <v>32708730</v>
      </c>
      <c r="D42" s="348">
        <v>4.5599999999999996</v>
      </c>
      <c r="E42" s="349">
        <v>7176812</v>
      </c>
      <c r="F42" s="348">
        <v>7.14</v>
      </c>
      <c r="G42" s="348">
        <v>25.64</v>
      </c>
      <c r="H42" s="348">
        <v>37.86</v>
      </c>
      <c r="I42" s="348">
        <v>29.36</v>
      </c>
      <c r="J42" s="352" t="s">
        <v>407</v>
      </c>
    </row>
    <row r="43" spans="1:10" ht="15.75" thickBot="1" x14ac:dyDescent="0.3">
      <c r="A43" s="352" t="s">
        <v>408</v>
      </c>
      <c r="B43" s="348" t="s">
        <v>347</v>
      </c>
      <c r="C43" s="349">
        <v>29996478</v>
      </c>
      <c r="D43" s="348">
        <v>4.24</v>
      </c>
      <c r="E43" s="349">
        <v>7075702</v>
      </c>
      <c r="F43" s="348">
        <v>6.45</v>
      </c>
      <c r="G43" s="348">
        <v>33.96</v>
      </c>
      <c r="H43" s="348">
        <v>36.57</v>
      </c>
      <c r="I43" s="348">
        <v>23.02</v>
      </c>
      <c r="J43" s="352" t="s">
        <v>379</v>
      </c>
    </row>
    <row r="44" spans="1:10" ht="15.75" thickBot="1" x14ac:dyDescent="0.3">
      <c r="A44" s="352" t="s">
        <v>409</v>
      </c>
      <c r="B44" s="348" t="s">
        <v>362</v>
      </c>
      <c r="C44" s="349">
        <v>36077527</v>
      </c>
      <c r="D44" s="348">
        <v>5.24</v>
      </c>
      <c r="E44" s="349">
        <v>6890065</v>
      </c>
      <c r="F44" s="348">
        <v>5.88</v>
      </c>
      <c r="G44" s="348">
        <v>21.48</v>
      </c>
      <c r="H44" s="348">
        <v>31.96</v>
      </c>
      <c r="I44" s="348">
        <v>40.68</v>
      </c>
      <c r="J44" s="352" t="s">
        <v>383</v>
      </c>
    </row>
    <row r="45" spans="1:10" ht="15.75" thickBot="1" x14ac:dyDescent="0.3">
      <c r="A45" s="352" t="s">
        <v>410</v>
      </c>
      <c r="B45" s="348" t="s">
        <v>362</v>
      </c>
      <c r="C45" s="349">
        <v>30066648</v>
      </c>
      <c r="D45" s="348">
        <v>4.37</v>
      </c>
      <c r="E45" s="349">
        <v>6885971</v>
      </c>
      <c r="F45" s="348">
        <v>9.85</v>
      </c>
      <c r="G45" s="348">
        <v>30.96</v>
      </c>
      <c r="H45" s="348">
        <v>30.1</v>
      </c>
      <c r="I45" s="348">
        <v>29.09</v>
      </c>
      <c r="J45" s="352" t="s">
        <v>364</v>
      </c>
    </row>
    <row r="46" spans="1:10" ht="15.75" thickBot="1" x14ac:dyDescent="0.3">
      <c r="A46" s="352" t="s">
        <v>411</v>
      </c>
      <c r="B46" s="348" t="s">
        <v>359</v>
      </c>
      <c r="C46" s="349">
        <v>19317984</v>
      </c>
      <c r="D46" s="348">
        <v>2.88</v>
      </c>
      <c r="E46" s="349">
        <v>6709224</v>
      </c>
      <c r="F46" s="348">
        <v>20.91</v>
      </c>
      <c r="G46" s="348">
        <v>46.98</v>
      </c>
      <c r="H46" s="348">
        <v>26.47</v>
      </c>
      <c r="I46" s="348">
        <v>5.63</v>
      </c>
      <c r="J46" s="352" t="s">
        <v>364</v>
      </c>
    </row>
    <row r="47" spans="1:10" ht="15.75" thickBot="1" x14ac:dyDescent="0.3">
      <c r="A47" s="352" t="s">
        <v>412</v>
      </c>
      <c r="B47" s="348" t="s">
        <v>347</v>
      </c>
      <c r="C47" s="349">
        <v>34529473</v>
      </c>
      <c r="D47" s="348">
        <v>5.24</v>
      </c>
      <c r="E47" s="349">
        <v>6586983</v>
      </c>
      <c r="F47" s="348">
        <v>5.26</v>
      </c>
      <c r="G47" s="348">
        <v>18.899999999999999</v>
      </c>
      <c r="H47" s="348">
        <v>33.619999999999997</v>
      </c>
      <c r="I47" s="348">
        <v>42.22</v>
      </c>
      <c r="J47" s="352" t="s">
        <v>413</v>
      </c>
    </row>
    <row r="48" spans="1:10" ht="15.75" thickBot="1" x14ac:dyDescent="0.3">
      <c r="A48" s="352" t="s">
        <v>414</v>
      </c>
      <c r="B48" s="348" t="s">
        <v>356</v>
      </c>
      <c r="C48" s="349">
        <v>28435943</v>
      </c>
      <c r="D48" s="348">
        <v>4.33</v>
      </c>
      <c r="E48" s="349">
        <v>6565128</v>
      </c>
      <c r="F48" s="348">
        <v>7.56</v>
      </c>
      <c r="G48" s="348">
        <v>29.11</v>
      </c>
      <c r="H48" s="348">
        <v>36.869999999999997</v>
      </c>
      <c r="I48" s="348">
        <v>26.46</v>
      </c>
      <c r="J48" s="352" t="s">
        <v>415</v>
      </c>
    </row>
    <row r="49" spans="1:10" ht="15.75" thickBot="1" x14ac:dyDescent="0.3">
      <c r="A49" s="352" t="s">
        <v>416</v>
      </c>
      <c r="B49" s="348" t="s">
        <v>347</v>
      </c>
      <c r="C49" s="349">
        <v>25550000</v>
      </c>
      <c r="D49" s="348">
        <v>3.93</v>
      </c>
      <c r="E49" s="349">
        <v>6502416</v>
      </c>
      <c r="F49" s="348">
        <v>1.68</v>
      </c>
      <c r="G49" s="348">
        <v>32.72</v>
      </c>
      <c r="H49" s="348">
        <v>55.42</v>
      </c>
      <c r="I49" s="348">
        <v>10.17</v>
      </c>
      <c r="J49" s="352" t="s">
        <v>405</v>
      </c>
    </row>
    <row r="50" spans="1:10" ht="15.75" thickBot="1" x14ac:dyDescent="0.3">
      <c r="A50" s="352" t="s">
        <v>417</v>
      </c>
      <c r="B50" s="348" t="s">
        <v>362</v>
      </c>
      <c r="C50" s="349">
        <v>31127674</v>
      </c>
      <c r="D50" s="348">
        <v>4.82</v>
      </c>
      <c r="E50" s="349">
        <v>6463847</v>
      </c>
      <c r="F50" s="348">
        <v>10.81</v>
      </c>
      <c r="G50" s="348">
        <v>23.9</v>
      </c>
      <c r="H50" s="348">
        <v>28.46</v>
      </c>
      <c r="I50" s="348">
        <v>36.83</v>
      </c>
      <c r="J50" s="352" t="s">
        <v>379</v>
      </c>
    </row>
    <row r="51" spans="1:10" ht="15.75" thickBot="1" x14ac:dyDescent="0.3">
      <c r="A51" s="352" t="s">
        <v>418</v>
      </c>
      <c r="B51" s="348" t="s">
        <v>356</v>
      </c>
      <c r="C51" s="349">
        <v>19458310</v>
      </c>
      <c r="D51" s="348">
        <v>3.58</v>
      </c>
      <c r="E51" s="349">
        <v>5440715</v>
      </c>
      <c r="F51" s="348">
        <v>11.43</v>
      </c>
      <c r="G51" s="348">
        <v>39.22</v>
      </c>
      <c r="H51" s="348">
        <v>37.11</v>
      </c>
      <c r="I51" s="348">
        <v>12.24</v>
      </c>
      <c r="J51" s="352" t="s">
        <v>419</v>
      </c>
    </row>
    <row r="52" spans="1:10" ht="15.75" thickBot="1" x14ac:dyDescent="0.3">
      <c r="A52" s="352" t="s">
        <v>420</v>
      </c>
      <c r="B52" s="348" t="s">
        <v>347</v>
      </c>
      <c r="C52" s="349">
        <v>18815536</v>
      </c>
      <c r="D52" s="348">
        <v>3.5</v>
      </c>
      <c r="E52" s="349">
        <v>5381052</v>
      </c>
      <c r="F52" s="348">
        <v>14.57</v>
      </c>
      <c r="G52" s="348">
        <v>38.32</v>
      </c>
      <c r="H52" s="348">
        <v>30.97</v>
      </c>
      <c r="I52" s="348">
        <v>16.14</v>
      </c>
      <c r="J52" s="352" t="s">
        <v>374</v>
      </c>
    </row>
    <row r="53" spans="1:10" ht="15.75" thickBot="1" x14ac:dyDescent="0.3">
      <c r="A53" s="352" t="s">
        <v>421</v>
      </c>
      <c r="B53" s="348" t="s">
        <v>362</v>
      </c>
      <c r="C53" s="349">
        <v>26251309</v>
      </c>
      <c r="D53" s="348">
        <v>4.95</v>
      </c>
      <c r="E53" s="349">
        <v>5304084</v>
      </c>
      <c r="F53" s="348">
        <v>5.34</v>
      </c>
      <c r="G53" s="348">
        <v>25.3</v>
      </c>
      <c r="H53" s="348">
        <v>33.14</v>
      </c>
      <c r="I53" s="348">
        <v>36.22</v>
      </c>
      <c r="J53" s="352" t="s">
        <v>364</v>
      </c>
    </row>
    <row r="54" spans="1:10" ht="15.75" thickBot="1" x14ac:dyDescent="0.3">
      <c r="A54" s="352" t="s">
        <v>422</v>
      </c>
      <c r="B54" s="348" t="s">
        <v>378</v>
      </c>
      <c r="C54" s="349">
        <v>40150200</v>
      </c>
      <c r="D54" s="348">
        <v>7.7</v>
      </c>
      <c r="E54" s="349">
        <v>5212262</v>
      </c>
      <c r="F54" s="348">
        <v>1.23</v>
      </c>
      <c r="G54" s="348">
        <v>10.210000000000001</v>
      </c>
      <c r="H54" s="348">
        <v>20.83</v>
      </c>
      <c r="I54" s="348">
        <v>67.739999999999995</v>
      </c>
      <c r="J54" s="352" t="s">
        <v>423</v>
      </c>
    </row>
    <row r="55" spans="1:10" ht="15.75" thickBot="1" x14ac:dyDescent="0.3">
      <c r="A55" s="352" t="s">
        <v>424</v>
      </c>
      <c r="B55" s="348" t="s">
        <v>362</v>
      </c>
      <c r="C55" s="349">
        <v>26453542</v>
      </c>
      <c r="D55" s="348">
        <v>5.09</v>
      </c>
      <c r="E55" s="349">
        <v>5197095</v>
      </c>
      <c r="F55" s="348">
        <v>12.18</v>
      </c>
      <c r="G55" s="348">
        <v>24.73</v>
      </c>
      <c r="H55" s="348">
        <v>25.87</v>
      </c>
      <c r="I55" s="348">
        <v>37.22</v>
      </c>
      <c r="J55" s="352" t="s">
        <v>402</v>
      </c>
    </row>
    <row r="56" spans="1:10" ht="15.75" thickBot="1" x14ac:dyDescent="0.3">
      <c r="A56" s="352" t="s">
        <v>425</v>
      </c>
      <c r="B56" s="348" t="s">
        <v>359</v>
      </c>
      <c r="C56" s="349">
        <v>11539878</v>
      </c>
      <c r="D56" s="348">
        <v>2.36</v>
      </c>
      <c r="E56" s="349">
        <v>4883743</v>
      </c>
      <c r="F56" s="348">
        <v>30.87</v>
      </c>
      <c r="G56" s="348">
        <v>48.31</v>
      </c>
      <c r="H56" s="348">
        <v>18.7</v>
      </c>
      <c r="I56" s="348">
        <v>2.12</v>
      </c>
      <c r="J56" s="352" t="s">
        <v>364</v>
      </c>
    </row>
    <row r="57" spans="1:10" ht="15.75" thickBot="1" x14ac:dyDescent="0.3">
      <c r="A57" s="352" t="s">
        <v>426</v>
      </c>
      <c r="B57" s="348" t="s">
        <v>362</v>
      </c>
      <c r="C57" s="349">
        <v>24348251</v>
      </c>
      <c r="D57" s="348">
        <v>4.99</v>
      </c>
      <c r="E57" s="349">
        <v>4877120</v>
      </c>
      <c r="F57" s="348">
        <v>15.14</v>
      </c>
      <c r="G57" s="348">
        <v>22.69</v>
      </c>
      <c r="H57" s="348">
        <v>24.44</v>
      </c>
      <c r="I57" s="348">
        <v>37.72</v>
      </c>
      <c r="J57" s="352" t="s">
        <v>364</v>
      </c>
    </row>
    <row r="58" spans="1:10" ht="15.75" thickBot="1" x14ac:dyDescent="0.3">
      <c r="A58" s="352" t="s">
        <v>427</v>
      </c>
      <c r="B58" s="348" t="s">
        <v>356</v>
      </c>
      <c r="C58" s="349">
        <v>17611528</v>
      </c>
      <c r="D58" s="348">
        <v>3.78</v>
      </c>
      <c r="E58" s="349">
        <v>4659382</v>
      </c>
      <c r="F58" s="348">
        <v>12.12</v>
      </c>
      <c r="G58" s="348">
        <v>35.909999999999997</v>
      </c>
      <c r="H58" s="348">
        <v>35.49</v>
      </c>
      <c r="I58" s="348">
        <v>16.48</v>
      </c>
      <c r="J58" s="352" t="s">
        <v>357</v>
      </c>
    </row>
    <row r="59" spans="1:10" ht="15.75" thickBot="1" x14ac:dyDescent="0.3">
      <c r="A59" s="352" t="s">
        <v>428</v>
      </c>
      <c r="B59" s="348" t="s">
        <v>347</v>
      </c>
      <c r="C59" s="349">
        <v>29825968</v>
      </c>
      <c r="D59" s="348">
        <v>6.67</v>
      </c>
      <c r="E59" s="349">
        <v>4469863</v>
      </c>
      <c r="F59" s="348">
        <v>1.87</v>
      </c>
      <c r="G59" s="348">
        <v>14.68</v>
      </c>
      <c r="H59" s="348">
        <v>23.66</v>
      </c>
      <c r="I59" s="348">
        <v>59.79</v>
      </c>
      <c r="J59" s="352" t="s">
        <v>369</v>
      </c>
    </row>
    <row r="60" spans="1:10" ht="15.75" thickBot="1" x14ac:dyDescent="0.3">
      <c r="A60" s="352" t="s">
        <v>429</v>
      </c>
      <c r="B60" s="348" t="s">
        <v>359</v>
      </c>
      <c r="C60" s="349">
        <v>10699142</v>
      </c>
      <c r="D60" s="348">
        <v>2.4</v>
      </c>
      <c r="E60" s="349">
        <v>4465680</v>
      </c>
      <c r="F60" s="348">
        <v>27.28</v>
      </c>
      <c r="G60" s="348">
        <v>51.34</v>
      </c>
      <c r="H60" s="348">
        <v>20.37</v>
      </c>
      <c r="I60" s="348">
        <v>1.02</v>
      </c>
      <c r="J60" s="352" t="s">
        <v>364</v>
      </c>
    </row>
    <row r="61" spans="1:10" ht="15.75" thickBot="1" x14ac:dyDescent="0.3">
      <c r="A61" s="352" t="s">
        <v>430</v>
      </c>
      <c r="B61" s="348" t="s">
        <v>359</v>
      </c>
      <c r="C61" s="349">
        <v>10724599</v>
      </c>
      <c r="D61" s="348">
        <v>2.44</v>
      </c>
      <c r="E61" s="349">
        <v>4394506</v>
      </c>
      <c r="F61" s="348">
        <v>27.48</v>
      </c>
      <c r="G61" s="348">
        <v>49.84</v>
      </c>
      <c r="H61" s="348">
        <v>21.26</v>
      </c>
      <c r="I61" s="348">
        <v>1.42</v>
      </c>
      <c r="J61" s="352" t="s">
        <v>364</v>
      </c>
    </row>
    <row r="62" spans="1:10" ht="15.75" thickBot="1" x14ac:dyDescent="0.3">
      <c r="A62" s="352" t="s">
        <v>431</v>
      </c>
      <c r="B62" s="348" t="s">
        <v>347</v>
      </c>
      <c r="C62" s="349">
        <v>32890171</v>
      </c>
      <c r="D62" s="348">
        <v>8.0399999999999991</v>
      </c>
      <c r="E62" s="349">
        <v>4092477</v>
      </c>
      <c r="F62" s="348">
        <v>0.19</v>
      </c>
      <c r="G62" s="348">
        <v>6.45</v>
      </c>
      <c r="H62" s="348">
        <v>16.84</v>
      </c>
      <c r="I62" s="348">
        <v>76.52</v>
      </c>
      <c r="J62" s="352" t="s">
        <v>350</v>
      </c>
    </row>
    <row r="63" spans="1:10" ht="15.75" thickBot="1" x14ac:dyDescent="0.3">
      <c r="A63" s="352" t="s">
        <v>432</v>
      </c>
      <c r="B63" s="348" t="s">
        <v>362</v>
      </c>
      <c r="C63" s="349">
        <v>18449828</v>
      </c>
      <c r="D63" s="348">
        <v>4.51</v>
      </c>
      <c r="E63" s="349">
        <v>4091853</v>
      </c>
      <c r="F63" s="348">
        <v>6.45</v>
      </c>
      <c r="G63" s="348">
        <v>28.1</v>
      </c>
      <c r="H63" s="348">
        <v>35.56</v>
      </c>
      <c r="I63" s="348">
        <v>29.9</v>
      </c>
      <c r="J63" s="352" t="s">
        <v>350</v>
      </c>
    </row>
    <row r="64" spans="1:10" ht="15.75" thickBot="1" x14ac:dyDescent="0.3">
      <c r="A64" s="352" t="s">
        <v>433</v>
      </c>
      <c r="B64" s="348" t="s">
        <v>359</v>
      </c>
      <c r="C64" s="349">
        <v>8935112</v>
      </c>
      <c r="D64" s="348">
        <v>2.27</v>
      </c>
      <c r="E64" s="349">
        <v>3933516</v>
      </c>
      <c r="F64" s="348">
        <v>36.340000000000003</v>
      </c>
      <c r="G64" s="348">
        <v>44.52</v>
      </c>
      <c r="H64" s="348">
        <v>17.059999999999999</v>
      </c>
      <c r="I64" s="348">
        <v>2.08</v>
      </c>
      <c r="J64" s="352" t="s">
        <v>364</v>
      </c>
    </row>
    <row r="65" spans="1:10" ht="15.75" thickBot="1" x14ac:dyDescent="0.3">
      <c r="A65" s="352" t="s">
        <v>434</v>
      </c>
      <c r="B65" s="348" t="s">
        <v>362</v>
      </c>
      <c r="C65" s="349">
        <v>23196002</v>
      </c>
      <c r="D65" s="348">
        <v>5.92</v>
      </c>
      <c r="E65" s="349">
        <v>3920330</v>
      </c>
      <c r="F65" s="348">
        <v>3.19</v>
      </c>
      <c r="G65" s="348">
        <v>19.86</v>
      </c>
      <c r="H65" s="348">
        <v>28.99</v>
      </c>
      <c r="I65" s="348">
        <v>47.96</v>
      </c>
      <c r="J65" s="352" t="s">
        <v>402</v>
      </c>
    </row>
    <row r="66" spans="1:10" ht="15.75" thickBot="1" x14ac:dyDescent="0.3">
      <c r="A66" s="352" t="s">
        <v>435</v>
      </c>
      <c r="B66" s="348" t="s">
        <v>359</v>
      </c>
      <c r="C66" s="349">
        <v>8632703</v>
      </c>
      <c r="D66" s="348">
        <v>2.21</v>
      </c>
      <c r="E66" s="349">
        <v>3901112</v>
      </c>
      <c r="F66" s="348">
        <v>37.51</v>
      </c>
      <c r="G66" s="348">
        <v>43.64</v>
      </c>
      <c r="H66" s="348">
        <v>17.23</v>
      </c>
      <c r="I66" s="348">
        <v>1.62</v>
      </c>
      <c r="J66" s="352" t="s">
        <v>407</v>
      </c>
    </row>
    <row r="67" spans="1:10" ht="15.75" thickBot="1" x14ac:dyDescent="0.3">
      <c r="A67" s="352" t="s">
        <v>436</v>
      </c>
      <c r="B67" s="348" t="s">
        <v>359</v>
      </c>
      <c r="C67" s="349">
        <v>10295909</v>
      </c>
      <c r="D67" s="348">
        <v>2.66</v>
      </c>
      <c r="E67" s="349">
        <v>3876822</v>
      </c>
      <c r="F67" s="348">
        <v>18.91</v>
      </c>
      <c r="G67" s="348">
        <v>56.47</v>
      </c>
      <c r="H67" s="348">
        <v>22.68</v>
      </c>
      <c r="I67" s="348">
        <v>1.93</v>
      </c>
      <c r="J67" s="352" t="s">
        <v>364</v>
      </c>
    </row>
    <row r="68" spans="1:10" ht="15.75" thickBot="1" x14ac:dyDescent="0.3">
      <c r="A68" s="352" t="s">
        <v>437</v>
      </c>
      <c r="B68" s="348" t="s">
        <v>362</v>
      </c>
      <c r="C68" s="349">
        <v>15473818</v>
      </c>
      <c r="D68" s="348">
        <v>4.08</v>
      </c>
      <c r="E68" s="349">
        <v>3795226</v>
      </c>
      <c r="F68" s="348">
        <v>12.37</v>
      </c>
      <c r="G68" s="348">
        <v>31.14</v>
      </c>
      <c r="H68" s="348">
        <v>33.76</v>
      </c>
      <c r="I68" s="348">
        <v>22.72</v>
      </c>
      <c r="J68" s="352" t="s">
        <v>350</v>
      </c>
    </row>
    <row r="69" spans="1:10" ht="15.75" thickBot="1" x14ac:dyDescent="0.3">
      <c r="A69" s="352" t="s">
        <v>438</v>
      </c>
      <c r="B69" s="348" t="s">
        <v>359</v>
      </c>
      <c r="C69" s="349">
        <v>9408400</v>
      </c>
      <c r="D69" s="348">
        <v>2.48</v>
      </c>
      <c r="E69" s="349">
        <v>3789941</v>
      </c>
      <c r="F69" s="348">
        <v>27</v>
      </c>
      <c r="G69" s="348">
        <v>51.73</v>
      </c>
      <c r="H69" s="348">
        <v>19.09</v>
      </c>
      <c r="I69" s="348">
        <v>2.19</v>
      </c>
      <c r="J69" s="352" t="s">
        <v>374</v>
      </c>
    </row>
    <row r="70" spans="1:10" ht="15.75" thickBot="1" x14ac:dyDescent="0.3">
      <c r="A70" s="352" t="s">
        <v>439</v>
      </c>
      <c r="B70" s="348" t="s">
        <v>359</v>
      </c>
      <c r="C70" s="349">
        <v>9769526</v>
      </c>
      <c r="D70" s="348">
        <v>2.6</v>
      </c>
      <c r="E70" s="349">
        <v>3753000</v>
      </c>
      <c r="F70" s="348">
        <v>23.63</v>
      </c>
      <c r="G70" s="348">
        <v>50.92</v>
      </c>
      <c r="H70" s="348">
        <v>22.72</v>
      </c>
      <c r="I70" s="348">
        <v>2.74</v>
      </c>
      <c r="J70" s="352" t="s">
        <v>364</v>
      </c>
    </row>
    <row r="71" spans="1:10" ht="15.75" thickBot="1" x14ac:dyDescent="0.3">
      <c r="A71" s="352" t="s">
        <v>440</v>
      </c>
      <c r="B71" s="348" t="s">
        <v>362</v>
      </c>
      <c r="C71" s="349">
        <v>21510181</v>
      </c>
      <c r="D71" s="348">
        <v>5.92</v>
      </c>
      <c r="E71" s="349">
        <v>3630745</v>
      </c>
      <c r="F71" s="348">
        <v>6.64</v>
      </c>
      <c r="G71" s="348">
        <v>19.510000000000002</v>
      </c>
      <c r="H71" s="348">
        <v>27.4</v>
      </c>
      <c r="I71" s="348">
        <v>46.46</v>
      </c>
      <c r="J71" s="352" t="s">
        <v>366</v>
      </c>
    </row>
    <row r="72" spans="1:10" ht="15.75" thickBot="1" x14ac:dyDescent="0.3">
      <c r="A72" s="352" t="s">
        <v>441</v>
      </c>
      <c r="B72" s="348" t="s">
        <v>442</v>
      </c>
      <c r="C72" s="349">
        <v>11193470</v>
      </c>
      <c r="D72" s="348">
        <v>3.14</v>
      </c>
      <c r="E72" s="349">
        <v>3568550</v>
      </c>
      <c r="F72" s="348">
        <v>13.73</v>
      </c>
      <c r="G72" s="348">
        <v>49.55</v>
      </c>
      <c r="H72" s="348">
        <v>30.23</v>
      </c>
      <c r="I72" s="348">
        <v>6.5</v>
      </c>
      <c r="J72" s="352" t="s">
        <v>419</v>
      </c>
    </row>
    <row r="73" spans="1:10" ht="15.75" thickBot="1" x14ac:dyDescent="0.3">
      <c r="A73" s="352" t="s">
        <v>443</v>
      </c>
      <c r="B73" s="348" t="s">
        <v>444</v>
      </c>
      <c r="C73" s="349">
        <v>16858333</v>
      </c>
      <c r="D73" s="348">
        <v>4.8099999999999996</v>
      </c>
      <c r="E73" s="349">
        <v>3507977</v>
      </c>
      <c r="F73" s="348">
        <v>4.33</v>
      </c>
      <c r="G73" s="348">
        <v>26.57</v>
      </c>
      <c r="H73" s="348">
        <v>37.51</v>
      </c>
      <c r="I73" s="348">
        <v>31.6</v>
      </c>
      <c r="J73" s="352" t="s">
        <v>350</v>
      </c>
    </row>
    <row r="74" spans="1:10" ht="15.75" thickBot="1" x14ac:dyDescent="0.3">
      <c r="A74" s="352" t="s">
        <v>445</v>
      </c>
      <c r="B74" s="348" t="s">
        <v>362</v>
      </c>
      <c r="C74" s="349">
        <v>17885422</v>
      </c>
      <c r="D74" s="348">
        <v>5.13</v>
      </c>
      <c r="E74" s="349">
        <v>3485901</v>
      </c>
      <c r="F74" s="348">
        <v>7.17</v>
      </c>
      <c r="G74" s="348">
        <v>21.41</v>
      </c>
      <c r="H74" s="348">
        <v>30.06</v>
      </c>
      <c r="I74" s="348">
        <v>41.35</v>
      </c>
      <c r="J74" s="352" t="s">
        <v>369</v>
      </c>
    </row>
    <row r="75" spans="1:10" ht="15.75" thickBot="1" x14ac:dyDescent="0.3">
      <c r="A75" s="352" t="s">
        <v>446</v>
      </c>
      <c r="B75" s="348" t="s">
        <v>362</v>
      </c>
      <c r="C75" s="349">
        <v>20250833</v>
      </c>
      <c r="D75" s="348">
        <v>5.81</v>
      </c>
      <c r="E75" s="349">
        <v>3484826</v>
      </c>
      <c r="F75" s="348">
        <v>3.11</v>
      </c>
      <c r="G75" s="348">
        <v>20.29</v>
      </c>
      <c r="H75" s="348">
        <v>30.32</v>
      </c>
      <c r="I75" s="348">
        <v>46.28</v>
      </c>
      <c r="J75" s="352" t="s">
        <v>447</v>
      </c>
    </row>
    <row r="76" spans="1:10" ht="15.75" thickBot="1" x14ac:dyDescent="0.3">
      <c r="A76" s="352" t="s">
        <v>448</v>
      </c>
      <c r="B76" s="348" t="s">
        <v>347</v>
      </c>
      <c r="C76" s="349">
        <v>15288489</v>
      </c>
      <c r="D76" s="348">
        <v>4.6100000000000003</v>
      </c>
      <c r="E76" s="349">
        <v>3315050</v>
      </c>
      <c r="F76" s="348">
        <v>3.37</v>
      </c>
      <c r="G76" s="348">
        <v>25.65</v>
      </c>
      <c r="H76" s="348">
        <v>43.08</v>
      </c>
      <c r="I76" s="348">
        <v>27.9</v>
      </c>
      <c r="J76" s="352" t="s">
        <v>366</v>
      </c>
    </row>
    <row r="77" spans="1:10" ht="15.75" thickBot="1" x14ac:dyDescent="0.3">
      <c r="A77" s="352" t="s">
        <v>449</v>
      </c>
      <c r="B77" s="348" t="s">
        <v>356</v>
      </c>
      <c r="C77" s="349">
        <v>11633371</v>
      </c>
      <c r="D77" s="348">
        <v>3.53</v>
      </c>
      <c r="E77" s="349">
        <v>3295144</v>
      </c>
      <c r="F77" s="348">
        <v>20.34</v>
      </c>
      <c r="G77" s="348">
        <v>34.82</v>
      </c>
      <c r="H77" s="348">
        <v>27.64</v>
      </c>
      <c r="I77" s="348">
        <v>17.2</v>
      </c>
      <c r="J77" s="352" t="s">
        <v>402</v>
      </c>
    </row>
    <row r="78" spans="1:10" ht="15.75" thickBot="1" x14ac:dyDescent="0.3">
      <c r="A78" s="352" t="s">
        <v>450</v>
      </c>
      <c r="B78" s="348" t="s">
        <v>442</v>
      </c>
      <c r="C78" s="349">
        <v>10448499</v>
      </c>
      <c r="D78" s="348">
        <v>3.48</v>
      </c>
      <c r="E78" s="349">
        <v>3004226</v>
      </c>
      <c r="F78" s="348">
        <v>14.33</v>
      </c>
      <c r="G78" s="348">
        <v>39.85</v>
      </c>
      <c r="H78" s="348">
        <v>33.08</v>
      </c>
      <c r="I78" s="348">
        <v>12.73</v>
      </c>
      <c r="J78" s="352" t="s">
        <v>369</v>
      </c>
    </row>
    <row r="79" spans="1:10" ht="15.75" thickBot="1" x14ac:dyDescent="0.3">
      <c r="A79" s="352" t="s">
        <v>451</v>
      </c>
      <c r="B79" s="348" t="s">
        <v>359</v>
      </c>
      <c r="C79" s="349">
        <v>6951482</v>
      </c>
      <c r="D79" s="348">
        <v>2.34</v>
      </c>
      <c r="E79" s="349">
        <v>2973737</v>
      </c>
      <c r="F79" s="348">
        <v>30.53</v>
      </c>
      <c r="G79" s="348">
        <v>50.97</v>
      </c>
      <c r="H79" s="348">
        <v>16.62</v>
      </c>
      <c r="I79" s="348">
        <v>1.89</v>
      </c>
      <c r="J79" s="352" t="s">
        <v>364</v>
      </c>
    </row>
    <row r="80" spans="1:10" ht="15.75" thickBot="1" x14ac:dyDescent="0.3">
      <c r="A80" s="352" t="s">
        <v>452</v>
      </c>
      <c r="B80" s="348" t="s">
        <v>362</v>
      </c>
      <c r="C80" s="349">
        <v>12663116</v>
      </c>
      <c r="D80" s="348">
        <v>4.26</v>
      </c>
      <c r="E80" s="349">
        <v>2973056</v>
      </c>
      <c r="F80" s="348">
        <v>8.15</v>
      </c>
      <c r="G80" s="348">
        <v>30.76</v>
      </c>
      <c r="H80" s="348">
        <v>34.880000000000003</v>
      </c>
      <c r="I80" s="348">
        <v>26.2</v>
      </c>
      <c r="J80" s="352" t="s">
        <v>350</v>
      </c>
    </row>
    <row r="81" spans="1:10" ht="15.75" thickBot="1" x14ac:dyDescent="0.3">
      <c r="A81" s="352" t="s">
        <v>453</v>
      </c>
      <c r="B81" s="348" t="s">
        <v>378</v>
      </c>
      <c r="C81" s="349">
        <v>9280200</v>
      </c>
      <c r="D81" s="348">
        <v>3.14</v>
      </c>
      <c r="E81" s="349">
        <v>2953648</v>
      </c>
      <c r="F81" s="348">
        <v>21.01</v>
      </c>
      <c r="G81" s="348">
        <v>39.99</v>
      </c>
      <c r="H81" s="348">
        <v>28.29</v>
      </c>
      <c r="I81" s="348">
        <v>10.7</v>
      </c>
      <c r="J81" s="352" t="s">
        <v>405</v>
      </c>
    </row>
    <row r="82" spans="1:10" ht="15.75" thickBot="1" x14ac:dyDescent="0.3">
      <c r="A82" s="352" t="s">
        <v>454</v>
      </c>
      <c r="B82" s="348" t="s">
        <v>362</v>
      </c>
      <c r="C82" s="349">
        <v>16244513</v>
      </c>
      <c r="D82" s="348">
        <v>5.78</v>
      </c>
      <c r="E82" s="349">
        <v>2811841</v>
      </c>
      <c r="F82" s="348">
        <v>7.73</v>
      </c>
      <c r="G82" s="348">
        <v>18.489999999999998</v>
      </c>
      <c r="H82" s="348">
        <v>25.67</v>
      </c>
      <c r="I82" s="348">
        <v>48.11</v>
      </c>
      <c r="J82" s="352" t="s">
        <v>350</v>
      </c>
    </row>
    <row r="83" spans="1:10" ht="15.75" thickBot="1" x14ac:dyDescent="0.3">
      <c r="A83" s="352" t="s">
        <v>455</v>
      </c>
      <c r="B83" s="348" t="s">
        <v>442</v>
      </c>
      <c r="C83" s="349">
        <v>11743017</v>
      </c>
      <c r="D83" s="348">
        <v>4.29</v>
      </c>
      <c r="E83" s="349">
        <v>2735164</v>
      </c>
      <c r="F83" s="348">
        <v>9.43</v>
      </c>
      <c r="G83" s="348">
        <v>31.1</v>
      </c>
      <c r="H83" s="348">
        <v>32.93</v>
      </c>
      <c r="I83" s="348">
        <v>26.54</v>
      </c>
      <c r="J83" s="352" t="s">
        <v>354</v>
      </c>
    </row>
    <row r="84" spans="1:10" ht="15.75" thickBot="1" x14ac:dyDescent="0.3">
      <c r="A84" s="352" t="s">
        <v>456</v>
      </c>
      <c r="B84" s="348" t="s">
        <v>359</v>
      </c>
      <c r="C84" s="349">
        <v>5503335</v>
      </c>
      <c r="D84" s="348">
        <v>2.0699999999999998</v>
      </c>
      <c r="E84" s="349">
        <v>2652262</v>
      </c>
      <c r="F84" s="348">
        <v>41.01</v>
      </c>
      <c r="G84" s="348">
        <v>44.46</v>
      </c>
      <c r="H84" s="348">
        <v>12.97</v>
      </c>
      <c r="I84" s="348">
        <v>1.57</v>
      </c>
      <c r="J84" s="352" t="s">
        <v>357</v>
      </c>
    </row>
    <row r="85" spans="1:10" ht="15.75" thickBot="1" x14ac:dyDescent="0.3">
      <c r="A85" s="352" t="s">
        <v>457</v>
      </c>
      <c r="B85" s="348" t="s">
        <v>347</v>
      </c>
      <c r="C85" s="349">
        <v>7500700</v>
      </c>
      <c r="D85" s="348">
        <v>2.83</v>
      </c>
      <c r="E85" s="349">
        <v>2646107</v>
      </c>
      <c r="F85" s="348">
        <v>18.29</v>
      </c>
      <c r="G85" s="348">
        <v>50.89</v>
      </c>
      <c r="H85" s="348">
        <v>27.55</v>
      </c>
      <c r="I85" s="348">
        <v>3.27</v>
      </c>
      <c r="J85" s="352" t="s">
        <v>379</v>
      </c>
    </row>
    <row r="86" spans="1:10" ht="15.75" thickBot="1" x14ac:dyDescent="0.3">
      <c r="A86" s="352" t="s">
        <v>458</v>
      </c>
      <c r="B86" s="348" t="s">
        <v>362</v>
      </c>
      <c r="C86" s="349">
        <v>12309600</v>
      </c>
      <c r="D86" s="348">
        <v>4.83</v>
      </c>
      <c r="E86" s="349">
        <v>2548469</v>
      </c>
      <c r="F86" s="348">
        <v>6.04</v>
      </c>
      <c r="G86" s="348">
        <v>25.17</v>
      </c>
      <c r="H86" s="348">
        <v>31.72</v>
      </c>
      <c r="I86" s="348">
        <v>37.07</v>
      </c>
      <c r="J86" s="352" t="s">
        <v>379</v>
      </c>
    </row>
    <row r="87" spans="1:10" ht="15.75" thickBot="1" x14ac:dyDescent="0.3">
      <c r="A87" s="352" t="s">
        <v>459</v>
      </c>
      <c r="B87" s="348" t="s">
        <v>359</v>
      </c>
      <c r="C87" s="349">
        <v>5374807</v>
      </c>
      <c r="D87" s="348">
        <v>2.2200000000000002</v>
      </c>
      <c r="E87" s="349">
        <v>2426071</v>
      </c>
      <c r="F87" s="348">
        <v>39.58</v>
      </c>
      <c r="G87" s="348">
        <v>40.729999999999997</v>
      </c>
      <c r="H87" s="348">
        <v>18.13</v>
      </c>
      <c r="I87" s="348">
        <v>1.56</v>
      </c>
      <c r="J87" s="352" t="s">
        <v>364</v>
      </c>
    </row>
    <row r="88" spans="1:10" ht="15.75" thickBot="1" x14ac:dyDescent="0.3">
      <c r="A88" s="352" t="s">
        <v>460</v>
      </c>
      <c r="B88" s="348" t="s">
        <v>359</v>
      </c>
      <c r="C88" s="349">
        <v>6926705</v>
      </c>
      <c r="D88" s="348">
        <v>2.88</v>
      </c>
      <c r="E88" s="349">
        <v>2405804</v>
      </c>
      <c r="F88" s="348">
        <v>22.33</v>
      </c>
      <c r="G88" s="348">
        <v>44.81</v>
      </c>
      <c r="H88" s="348">
        <v>26.19</v>
      </c>
      <c r="I88" s="348">
        <v>6.67</v>
      </c>
      <c r="J88" s="352" t="s">
        <v>364</v>
      </c>
    </row>
    <row r="89" spans="1:10" ht="15.75" thickBot="1" x14ac:dyDescent="0.3">
      <c r="A89" s="352" t="s">
        <v>461</v>
      </c>
      <c r="B89" s="348" t="s">
        <v>362</v>
      </c>
      <c r="C89" s="349">
        <v>12114193</v>
      </c>
      <c r="D89" s="348">
        <v>5.19</v>
      </c>
      <c r="E89" s="349">
        <v>2335719</v>
      </c>
      <c r="F89" s="348">
        <v>9.7799999999999994</v>
      </c>
      <c r="G89" s="348">
        <v>23.56</v>
      </c>
      <c r="H89" s="348">
        <v>29.1</v>
      </c>
      <c r="I89" s="348">
        <v>37.56</v>
      </c>
      <c r="J89" s="352" t="s">
        <v>447</v>
      </c>
    </row>
    <row r="90" spans="1:10" ht="15.75" thickBot="1" x14ac:dyDescent="0.3">
      <c r="A90" s="352" t="s">
        <v>462</v>
      </c>
      <c r="B90" s="348" t="s">
        <v>378</v>
      </c>
      <c r="C90" s="349">
        <v>10815192</v>
      </c>
      <c r="D90" s="348">
        <v>4.72</v>
      </c>
      <c r="E90" s="349">
        <v>2291955</v>
      </c>
      <c r="F90" s="348">
        <v>4.3600000000000003</v>
      </c>
      <c r="G90" s="348">
        <v>25.76</v>
      </c>
      <c r="H90" s="348">
        <v>34.909999999999997</v>
      </c>
      <c r="I90" s="348">
        <v>34.97</v>
      </c>
      <c r="J90" s="352" t="s">
        <v>354</v>
      </c>
    </row>
    <row r="91" spans="1:10" ht="15.75" thickBot="1" x14ac:dyDescent="0.3">
      <c r="A91" s="352" t="s">
        <v>463</v>
      </c>
      <c r="B91" s="348" t="s">
        <v>362</v>
      </c>
      <c r="C91" s="349">
        <v>13249924</v>
      </c>
      <c r="D91" s="348">
        <v>5.95</v>
      </c>
      <c r="E91" s="349">
        <v>2227637</v>
      </c>
      <c r="F91" s="348">
        <v>4.33</v>
      </c>
      <c r="G91" s="348">
        <v>15.68</v>
      </c>
      <c r="H91" s="348">
        <v>26.87</v>
      </c>
      <c r="I91" s="348">
        <v>53.12</v>
      </c>
      <c r="J91" s="352" t="s">
        <v>405</v>
      </c>
    </row>
    <row r="92" spans="1:10" ht="15.75" thickBot="1" x14ac:dyDescent="0.3">
      <c r="A92" s="352" t="s">
        <v>464</v>
      </c>
      <c r="B92" s="348" t="s">
        <v>347</v>
      </c>
      <c r="C92" s="349">
        <v>10085900</v>
      </c>
      <c r="D92" s="348">
        <v>4.55</v>
      </c>
      <c r="E92" s="349">
        <v>2217398</v>
      </c>
      <c r="F92" s="348">
        <v>6.77</v>
      </c>
      <c r="G92" s="348">
        <v>20.86</v>
      </c>
      <c r="H92" s="348">
        <v>44.69</v>
      </c>
      <c r="I92" s="348">
        <v>27.68</v>
      </c>
      <c r="J92" s="352" t="s">
        <v>374</v>
      </c>
    </row>
    <row r="93" spans="1:10" ht="15.75" thickBot="1" x14ac:dyDescent="0.3">
      <c r="A93" s="352" t="s">
        <v>465</v>
      </c>
      <c r="B93" s="348" t="s">
        <v>444</v>
      </c>
      <c r="C93" s="349">
        <v>9304380</v>
      </c>
      <c r="D93" s="348">
        <v>4.47</v>
      </c>
      <c r="E93" s="349">
        <v>2082686</v>
      </c>
      <c r="F93" s="348">
        <v>6.69</v>
      </c>
      <c r="G93" s="348">
        <v>29.43</v>
      </c>
      <c r="H93" s="348">
        <v>36.81</v>
      </c>
      <c r="I93" s="348">
        <v>27.07</v>
      </c>
      <c r="J93" s="352" t="s">
        <v>402</v>
      </c>
    </row>
    <row r="94" spans="1:10" ht="15.75" thickBot="1" x14ac:dyDescent="0.3">
      <c r="A94" s="352" t="s">
        <v>466</v>
      </c>
      <c r="B94" s="348" t="s">
        <v>362</v>
      </c>
      <c r="C94" s="349">
        <v>12559623</v>
      </c>
      <c r="D94" s="348">
        <v>6.25</v>
      </c>
      <c r="E94" s="349">
        <v>2009276</v>
      </c>
      <c r="F94" s="348">
        <v>4.53</v>
      </c>
      <c r="G94" s="348">
        <v>16.91</v>
      </c>
      <c r="H94" s="348">
        <v>27.52</v>
      </c>
      <c r="I94" s="348">
        <v>51.04</v>
      </c>
      <c r="J94" s="352" t="s">
        <v>402</v>
      </c>
    </row>
    <row r="95" spans="1:10" ht="15.75" thickBot="1" x14ac:dyDescent="0.3">
      <c r="A95" s="352" t="s">
        <v>467</v>
      </c>
      <c r="B95" s="348" t="s">
        <v>359</v>
      </c>
      <c r="C95" s="349">
        <v>5460136</v>
      </c>
      <c r="D95" s="348">
        <v>2.8</v>
      </c>
      <c r="E95" s="349">
        <v>1948989</v>
      </c>
      <c r="F95" s="348">
        <v>20.83</v>
      </c>
      <c r="G95" s="348">
        <v>47.99</v>
      </c>
      <c r="H95" s="348">
        <v>26.99</v>
      </c>
      <c r="I95" s="348">
        <v>4.2</v>
      </c>
      <c r="J95" s="352" t="s">
        <v>364</v>
      </c>
    </row>
    <row r="96" spans="1:10" ht="15.75" thickBot="1" x14ac:dyDescent="0.3">
      <c r="A96" s="352" t="s">
        <v>468</v>
      </c>
      <c r="B96" s="348" t="s">
        <v>362</v>
      </c>
      <c r="C96" s="349">
        <v>16705608</v>
      </c>
      <c r="D96" s="348">
        <v>8.66</v>
      </c>
      <c r="E96" s="349">
        <v>1928689</v>
      </c>
      <c r="F96" s="348">
        <v>6.92</v>
      </c>
      <c r="G96" s="348">
        <v>11.47</v>
      </c>
      <c r="H96" s="348">
        <v>15.48</v>
      </c>
      <c r="I96" s="348">
        <v>66.13</v>
      </c>
      <c r="J96" s="352" t="s">
        <v>354</v>
      </c>
    </row>
    <row r="97" spans="1:10" ht="15.75" thickBot="1" x14ac:dyDescent="0.3">
      <c r="A97" s="352" t="s">
        <v>469</v>
      </c>
      <c r="B97" s="348" t="s">
        <v>398</v>
      </c>
      <c r="C97" s="349">
        <v>5095668</v>
      </c>
      <c r="D97" s="348">
        <v>2.67</v>
      </c>
      <c r="E97" s="349">
        <v>1906474</v>
      </c>
      <c r="F97" s="348">
        <v>22.84</v>
      </c>
      <c r="G97" s="348">
        <v>50.52</v>
      </c>
      <c r="H97" s="348">
        <v>22.09</v>
      </c>
      <c r="I97" s="348">
        <v>4.55</v>
      </c>
      <c r="J97" s="352" t="s">
        <v>369</v>
      </c>
    </row>
    <row r="98" spans="1:10" ht="15.75" thickBot="1" x14ac:dyDescent="0.3">
      <c r="A98" s="352" t="s">
        <v>470</v>
      </c>
      <c r="B98" s="348" t="s">
        <v>359</v>
      </c>
      <c r="C98" s="349">
        <v>4977400</v>
      </c>
      <c r="D98" s="348">
        <v>2.77</v>
      </c>
      <c r="E98" s="349">
        <v>1799221</v>
      </c>
      <c r="F98" s="348">
        <v>21.58</v>
      </c>
      <c r="G98" s="348">
        <v>48.05</v>
      </c>
      <c r="H98" s="348">
        <v>26.21</v>
      </c>
      <c r="I98" s="348">
        <v>4.16</v>
      </c>
      <c r="J98" s="352" t="s">
        <v>364</v>
      </c>
    </row>
    <row r="99" spans="1:10" ht="15.75" thickBot="1" x14ac:dyDescent="0.3">
      <c r="A99" s="352" t="s">
        <v>471</v>
      </c>
      <c r="B99" s="348" t="s">
        <v>347</v>
      </c>
      <c r="C99" s="349">
        <v>5685807</v>
      </c>
      <c r="D99" s="348">
        <v>3.29</v>
      </c>
      <c r="E99" s="349">
        <v>1727455</v>
      </c>
      <c r="F99" s="348">
        <v>12.21</v>
      </c>
      <c r="G99" s="348">
        <v>38.950000000000003</v>
      </c>
      <c r="H99" s="348">
        <v>37.69</v>
      </c>
      <c r="I99" s="348">
        <v>11.15</v>
      </c>
      <c r="J99" s="352" t="s">
        <v>357</v>
      </c>
    </row>
    <row r="100" spans="1:10" ht="15.75" thickBot="1" x14ac:dyDescent="0.3">
      <c r="A100" s="352" t="s">
        <v>472</v>
      </c>
      <c r="B100" s="348" t="s">
        <v>362</v>
      </c>
      <c r="C100" s="349">
        <v>7706000</v>
      </c>
      <c r="D100" s="348">
        <v>4.55</v>
      </c>
      <c r="E100" s="349">
        <v>1693139</v>
      </c>
      <c r="F100" s="348">
        <v>15.65</v>
      </c>
      <c r="G100" s="348">
        <v>26.22</v>
      </c>
      <c r="H100" s="348">
        <v>27.69</v>
      </c>
      <c r="I100" s="348">
        <v>30.45</v>
      </c>
      <c r="J100" s="352" t="s">
        <v>366</v>
      </c>
    </row>
    <row r="101" spans="1:10" ht="15.75" thickBot="1" x14ac:dyDescent="0.3">
      <c r="A101" s="352" t="s">
        <v>473</v>
      </c>
      <c r="B101" s="348" t="s">
        <v>356</v>
      </c>
      <c r="C101" s="349">
        <v>6765753</v>
      </c>
      <c r="D101" s="348">
        <v>4.07</v>
      </c>
      <c r="E101" s="349">
        <v>1662356</v>
      </c>
      <c r="F101" s="348">
        <v>8.82</v>
      </c>
      <c r="G101" s="348">
        <v>34.090000000000003</v>
      </c>
      <c r="H101" s="348">
        <v>36.82</v>
      </c>
      <c r="I101" s="348">
        <v>20.28</v>
      </c>
      <c r="J101" s="352" t="s">
        <v>389</v>
      </c>
    </row>
    <row r="102" spans="1:10" ht="15.75" thickBot="1" x14ac:dyDescent="0.3">
      <c r="A102" s="352" t="s">
        <v>474</v>
      </c>
      <c r="B102" s="348" t="s">
        <v>398</v>
      </c>
      <c r="C102" s="349">
        <v>8935000</v>
      </c>
      <c r="D102" s="348">
        <v>5.43</v>
      </c>
      <c r="E102" s="349">
        <v>1645457</v>
      </c>
      <c r="F102" s="348">
        <v>4.08</v>
      </c>
      <c r="G102" s="348">
        <v>21.97</v>
      </c>
      <c r="H102" s="348">
        <v>29.73</v>
      </c>
      <c r="I102" s="348">
        <v>44.22</v>
      </c>
      <c r="J102" s="352" t="s">
        <v>407</v>
      </c>
    </row>
    <row r="103" spans="1:10" ht="15.75" thickBot="1" x14ac:dyDescent="0.3">
      <c r="A103" s="352" t="s">
        <v>475</v>
      </c>
      <c r="B103" s="348" t="s">
        <v>356</v>
      </c>
      <c r="C103" s="349">
        <v>7252672</v>
      </c>
      <c r="D103" s="348">
        <v>4.63</v>
      </c>
      <c r="E103" s="349">
        <v>1565626</v>
      </c>
      <c r="F103" s="348">
        <v>8.09</v>
      </c>
      <c r="G103" s="348">
        <v>27.32</v>
      </c>
      <c r="H103" s="348">
        <v>33.15</v>
      </c>
      <c r="I103" s="348">
        <v>31.44</v>
      </c>
      <c r="J103" s="352" t="s">
        <v>419</v>
      </c>
    </row>
    <row r="104" spans="1:10" ht="15.75" thickBot="1" x14ac:dyDescent="0.3">
      <c r="A104" s="352" t="s">
        <v>476</v>
      </c>
      <c r="B104" s="348" t="s">
        <v>347</v>
      </c>
      <c r="C104" s="349">
        <v>6596500</v>
      </c>
      <c r="D104" s="348">
        <v>4.21</v>
      </c>
      <c r="E104" s="349">
        <v>1565200</v>
      </c>
      <c r="F104" s="348">
        <v>8.2100000000000009</v>
      </c>
      <c r="G104" s="348">
        <v>30.82</v>
      </c>
      <c r="H104" s="348">
        <v>36.130000000000003</v>
      </c>
      <c r="I104" s="348">
        <v>24.85</v>
      </c>
      <c r="J104" s="352" t="s">
        <v>402</v>
      </c>
    </row>
    <row r="105" spans="1:10" ht="15.75" thickBot="1" x14ac:dyDescent="0.3">
      <c r="A105" s="352" t="s">
        <v>477</v>
      </c>
      <c r="B105" s="348" t="s">
        <v>347</v>
      </c>
      <c r="C105" s="349">
        <v>9313800</v>
      </c>
      <c r="D105" s="348">
        <v>6.27</v>
      </c>
      <c r="E105" s="349">
        <v>1485317</v>
      </c>
      <c r="F105" s="348">
        <v>2.96</v>
      </c>
      <c r="G105" s="348">
        <v>12.06</v>
      </c>
      <c r="H105" s="348">
        <v>29.22</v>
      </c>
      <c r="I105" s="348">
        <v>55.76</v>
      </c>
      <c r="J105" s="352" t="s">
        <v>402</v>
      </c>
    </row>
    <row r="106" spans="1:10" ht="15.75" thickBot="1" x14ac:dyDescent="0.3">
      <c r="A106" s="352" t="s">
        <v>478</v>
      </c>
      <c r="B106" s="348" t="s">
        <v>444</v>
      </c>
      <c r="C106" s="349">
        <v>5111238</v>
      </c>
      <c r="D106" s="348">
        <v>3.46</v>
      </c>
      <c r="E106" s="349">
        <v>1476628</v>
      </c>
      <c r="F106" s="348">
        <v>11.23</v>
      </c>
      <c r="G106" s="348">
        <v>42.7</v>
      </c>
      <c r="H106" s="348">
        <v>35.83</v>
      </c>
      <c r="I106" s="348">
        <v>10.25</v>
      </c>
      <c r="J106" s="352" t="s">
        <v>364</v>
      </c>
    </row>
    <row r="107" spans="1:10" ht="15.75" thickBot="1" x14ac:dyDescent="0.3">
      <c r="A107" s="352" t="s">
        <v>479</v>
      </c>
      <c r="B107" s="348" t="s">
        <v>359</v>
      </c>
      <c r="C107" s="349">
        <v>4058165</v>
      </c>
      <c r="D107" s="348">
        <v>2.8</v>
      </c>
      <c r="E107" s="349">
        <v>1451732</v>
      </c>
      <c r="F107" s="348">
        <v>24.56</v>
      </c>
      <c r="G107" s="348">
        <v>44.43</v>
      </c>
      <c r="H107" s="348">
        <v>25.28</v>
      </c>
      <c r="I107" s="348">
        <v>5.73</v>
      </c>
      <c r="J107" s="352" t="s">
        <v>364</v>
      </c>
    </row>
    <row r="108" spans="1:10" ht="15.75" thickBot="1" x14ac:dyDescent="0.3">
      <c r="A108" s="352" t="s">
        <v>480</v>
      </c>
      <c r="B108" s="348" t="s">
        <v>362</v>
      </c>
      <c r="C108" s="349">
        <v>8100318</v>
      </c>
      <c r="D108" s="348">
        <v>5.9</v>
      </c>
      <c r="E108" s="349">
        <v>1373151</v>
      </c>
      <c r="F108" s="348">
        <v>4</v>
      </c>
      <c r="G108" s="348">
        <v>15.87</v>
      </c>
      <c r="H108" s="348">
        <v>30.74</v>
      </c>
      <c r="I108" s="348">
        <v>49.38</v>
      </c>
      <c r="J108" s="352" t="s">
        <v>369</v>
      </c>
    </row>
    <row r="109" spans="1:10" ht="15.75" thickBot="1" x14ac:dyDescent="0.3">
      <c r="A109" s="352" t="s">
        <v>481</v>
      </c>
      <c r="B109" s="348" t="s">
        <v>444</v>
      </c>
      <c r="C109" s="349">
        <v>6527691</v>
      </c>
      <c r="D109" s="348">
        <v>4.92</v>
      </c>
      <c r="E109" s="349">
        <v>1326800</v>
      </c>
      <c r="F109" s="348">
        <v>4.59</v>
      </c>
      <c r="G109" s="348">
        <v>26.37</v>
      </c>
      <c r="H109" s="348">
        <v>35.96</v>
      </c>
      <c r="I109" s="348">
        <v>33.08</v>
      </c>
      <c r="J109" s="352" t="s">
        <v>482</v>
      </c>
    </row>
    <row r="110" spans="1:10" ht="15.75" thickBot="1" x14ac:dyDescent="0.3">
      <c r="A110" s="352" t="s">
        <v>483</v>
      </c>
      <c r="B110" s="348" t="s">
        <v>362</v>
      </c>
      <c r="C110" s="349">
        <v>5518092</v>
      </c>
      <c r="D110" s="348">
        <v>4.3099999999999996</v>
      </c>
      <c r="E110" s="349">
        <v>1281072</v>
      </c>
      <c r="F110" s="348">
        <v>13.09</v>
      </c>
      <c r="G110" s="348">
        <v>29.9</v>
      </c>
      <c r="H110" s="348">
        <v>29.08</v>
      </c>
      <c r="I110" s="348">
        <v>27.94</v>
      </c>
      <c r="J110" s="352" t="s">
        <v>364</v>
      </c>
    </row>
    <row r="111" spans="1:10" ht="15.75" thickBot="1" x14ac:dyDescent="0.3">
      <c r="A111" s="352" t="s">
        <v>484</v>
      </c>
      <c r="B111" s="348" t="s">
        <v>356</v>
      </c>
      <c r="C111" s="349">
        <v>3530912</v>
      </c>
      <c r="D111" s="348">
        <v>2.78</v>
      </c>
      <c r="E111" s="349">
        <v>1269537</v>
      </c>
      <c r="F111" s="348">
        <v>23.52</v>
      </c>
      <c r="G111" s="348">
        <v>47.68</v>
      </c>
      <c r="H111" s="348">
        <v>23.37</v>
      </c>
      <c r="I111" s="348">
        <v>5.43</v>
      </c>
      <c r="J111" s="352" t="s">
        <v>364</v>
      </c>
    </row>
    <row r="112" spans="1:10" ht="15.75" thickBot="1" x14ac:dyDescent="0.3">
      <c r="A112" s="352" t="s">
        <v>485</v>
      </c>
      <c r="B112" s="348" t="s">
        <v>347</v>
      </c>
      <c r="C112" s="349">
        <v>7231210</v>
      </c>
      <c r="D112" s="348">
        <v>5.77</v>
      </c>
      <c r="E112" s="349">
        <v>1254263</v>
      </c>
      <c r="F112" s="348">
        <v>1.22</v>
      </c>
      <c r="G112" s="348">
        <v>15.01</v>
      </c>
      <c r="H112" s="348">
        <v>34.799999999999997</v>
      </c>
      <c r="I112" s="348">
        <v>48.97</v>
      </c>
      <c r="J112" s="352" t="s">
        <v>482</v>
      </c>
    </row>
    <row r="113" spans="1:10" ht="15.75" thickBot="1" x14ac:dyDescent="0.3">
      <c r="A113" s="352" t="s">
        <v>486</v>
      </c>
      <c r="B113" s="348" t="s">
        <v>359</v>
      </c>
      <c r="C113" s="349">
        <v>2794870</v>
      </c>
      <c r="D113" s="348">
        <v>2.3199999999999998</v>
      </c>
      <c r="E113" s="349">
        <v>1204383</v>
      </c>
      <c r="F113" s="348">
        <v>34.71</v>
      </c>
      <c r="G113" s="348">
        <v>45.4</v>
      </c>
      <c r="H113" s="348">
        <v>18</v>
      </c>
      <c r="I113" s="348">
        <v>1.89</v>
      </c>
      <c r="J113" s="352" t="s">
        <v>364</v>
      </c>
    </row>
    <row r="114" spans="1:10" ht="15.75" thickBot="1" x14ac:dyDescent="0.3">
      <c r="A114" s="352" t="s">
        <v>487</v>
      </c>
      <c r="B114" s="348" t="s">
        <v>442</v>
      </c>
      <c r="C114" s="349">
        <v>3193694</v>
      </c>
      <c r="D114" s="348">
        <v>2.67</v>
      </c>
      <c r="E114" s="349">
        <v>1195915</v>
      </c>
      <c r="F114" s="348">
        <v>23.06</v>
      </c>
      <c r="G114" s="348">
        <v>50.37</v>
      </c>
      <c r="H114" s="348">
        <v>23.17</v>
      </c>
      <c r="I114" s="348">
        <v>3.4</v>
      </c>
      <c r="J114" s="352" t="s">
        <v>357</v>
      </c>
    </row>
    <row r="115" spans="1:10" ht="15.75" thickBot="1" x14ac:dyDescent="0.3">
      <c r="A115" s="352" t="s">
        <v>488</v>
      </c>
      <c r="B115" s="348" t="s">
        <v>444</v>
      </c>
      <c r="C115" s="349">
        <v>4278500</v>
      </c>
      <c r="D115" s="348">
        <v>3.67</v>
      </c>
      <c r="E115" s="349">
        <v>1165778</v>
      </c>
      <c r="F115" s="348">
        <v>14.66</v>
      </c>
      <c r="G115" s="348">
        <v>38.020000000000003</v>
      </c>
      <c r="H115" s="348">
        <v>31.26</v>
      </c>
      <c r="I115" s="348">
        <v>16.059999999999999</v>
      </c>
      <c r="J115" s="352" t="s">
        <v>357</v>
      </c>
    </row>
    <row r="116" spans="1:10" ht="15.75" thickBot="1" x14ac:dyDescent="0.3">
      <c r="A116" s="352" t="s">
        <v>489</v>
      </c>
      <c r="B116" s="348" t="s">
        <v>362</v>
      </c>
      <c r="C116" s="349">
        <v>5633412</v>
      </c>
      <c r="D116" s="348">
        <v>4.91</v>
      </c>
      <c r="E116" s="349">
        <v>1148086</v>
      </c>
      <c r="F116" s="348">
        <v>13.5</v>
      </c>
      <c r="G116" s="348">
        <v>28.08</v>
      </c>
      <c r="H116" s="348">
        <v>23.94</v>
      </c>
      <c r="I116" s="348">
        <v>34.479999999999997</v>
      </c>
      <c r="J116" s="352" t="s">
        <v>490</v>
      </c>
    </row>
    <row r="117" spans="1:10" ht="15.75" thickBot="1" x14ac:dyDescent="0.3">
      <c r="A117" s="352" t="s">
        <v>491</v>
      </c>
      <c r="B117" s="348" t="s">
        <v>347</v>
      </c>
      <c r="C117" s="349">
        <v>3716858</v>
      </c>
      <c r="D117" s="348">
        <v>3.34</v>
      </c>
      <c r="E117" s="349">
        <v>1113542</v>
      </c>
      <c r="F117" s="348">
        <v>17.48</v>
      </c>
      <c r="G117" s="348">
        <v>39.28</v>
      </c>
      <c r="H117" s="348">
        <v>30.6</v>
      </c>
      <c r="I117" s="348">
        <v>12.64</v>
      </c>
      <c r="J117" s="352" t="s">
        <v>366</v>
      </c>
    </row>
    <row r="118" spans="1:10" ht="15.75" thickBot="1" x14ac:dyDescent="0.3">
      <c r="A118" s="352" t="s">
        <v>492</v>
      </c>
      <c r="B118" s="348" t="s">
        <v>362</v>
      </c>
      <c r="C118" s="349">
        <v>4568298</v>
      </c>
      <c r="D118" s="348">
        <v>4.95</v>
      </c>
      <c r="E118" s="349">
        <v>923685</v>
      </c>
      <c r="F118" s="348">
        <v>9.67</v>
      </c>
      <c r="G118" s="348">
        <v>24.81</v>
      </c>
      <c r="H118" s="348">
        <v>28.74</v>
      </c>
      <c r="I118" s="348">
        <v>36.78</v>
      </c>
      <c r="J118" s="352" t="s">
        <v>369</v>
      </c>
    </row>
    <row r="119" spans="1:10" ht="15.75" thickBot="1" x14ac:dyDescent="0.3">
      <c r="A119" s="352" t="s">
        <v>493</v>
      </c>
      <c r="B119" s="348" t="s">
        <v>359</v>
      </c>
      <c r="C119" s="349">
        <v>2640438</v>
      </c>
      <c r="D119" s="348">
        <v>2.89</v>
      </c>
      <c r="E119" s="349">
        <v>914026</v>
      </c>
      <c r="F119" s="348">
        <v>22.64</v>
      </c>
      <c r="G119" s="348">
        <v>43.62</v>
      </c>
      <c r="H119" s="348">
        <v>27.87</v>
      </c>
      <c r="I119" s="348">
        <v>5.87</v>
      </c>
      <c r="J119" s="352" t="s">
        <v>366</v>
      </c>
    </row>
    <row r="120" spans="1:10" ht="15.75" thickBot="1" x14ac:dyDescent="0.3">
      <c r="A120" s="352" t="s">
        <v>494</v>
      </c>
      <c r="B120" s="348" t="s">
        <v>442</v>
      </c>
      <c r="C120" s="349">
        <v>2734093</v>
      </c>
      <c r="D120" s="348">
        <v>3.06</v>
      </c>
      <c r="E120" s="349">
        <v>893225</v>
      </c>
      <c r="F120" s="348" t="s">
        <v>495</v>
      </c>
      <c r="G120" s="348" t="s">
        <v>495</v>
      </c>
      <c r="H120" s="348" t="s">
        <v>495</v>
      </c>
      <c r="I120" s="348" t="s">
        <v>495</v>
      </c>
      <c r="J120" s="352" t="s">
        <v>364</v>
      </c>
    </row>
    <row r="121" spans="1:10" ht="15.75" thickBot="1" x14ac:dyDescent="0.3">
      <c r="A121" s="352" t="s">
        <v>496</v>
      </c>
      <c r="B121" s="348" t="s">
        <v>359</v>
      </c>
      <c r="C121" s="349">
        <v>2845955</v>
      </c>
      <c r="D121" s="348">
        <v>3.3</v>
      </c>
      <c r="E121" s="349">
        <v>862512</v>
      </c>
      <c r="F121" s="348">
        <v>9.9499999999999993</v>
      </c>
      <c r="G121" s="348">
        <v>48.08</v>
      </c>
      <c r="H121" s="348">
        <v>32.51</v>
      </c>
      <c r="I121" s="348">
        <v>9.4499999999999993</v>
      </c>
      <c r="J121" s="352" t="s">
        <v>354</v>
      </c>
    </row>
    <row r="122" spans="1:10" ht="15.75" thickBot="1" x14ac:dyDescent="0.3">
      <c r="A122" s="352" t="s">
        <v>497</v>
      </c>
      <c r="B122" s="348" t="s">
        <v>359</v>
      </c>
      <c r="C122" s="349">
        <v>2100126</v>
      </c>
      <c r="D122" s="348">
        <v>2.4700000000000002</v>
      </c>
      <c r="E122" s="349">
        <v>851149</v>
      </c>
      <c r="F122" s="348">
        <v>32.6</v>
      </c>
      <c r="G122" s="348">
        <v>43.69</v>
      </c>
      <c r="H122" s="348">
        <v>20.54</v>
      </c>
      <c r="I122" s="348">
        <v>3.16</v>
      </c>
      <c r="J122" s="352" t="s">
        <v>350</v>
      </c>
    </row>
    <row r="123" spans="1:10" ht="15.75" thickBot="1" x14ac:dyDescent="0.3">
      <c r="A123" s="352" t="s">
        <v>498</v>
      </c>
      <c r="B123" s="348" t="s">
        <v>347</v>
      </c>
      <c r="C123" s="349">
        <v>2967900</v>
      </c>
      <c r="D123" s="348">
        <v>3.54</v>
      </c>
      <c r="E123" s="349">
        <v>837896</v>
      </c>
      <c r="F123" s="348">
        <v>15.19</v>
      </c>
      <c r="G123" s="348">
        <v>36.17</v>
      </c>
      <c r="H123" s="348">
        <v>32.299999999999997</v>
      </c>
      <c r="I123" s="348">
        <v>16.34</v>
      </c>
      <c r="J123" s="352" t="s">
        <v>379</v>
      </c>
    </row>
    <row r="124" spans="1:10" ht="15.75" thickBot="1" x14ac:dyDescent="0.3">
      <c r="A124" s="352" t="s">
        <v>499</v>
      </c>
      <c r="B124" s="348" t="s">
        <v>347</v>
      </c>
      <c r="C124" s="349">
        <v>3348124</v>
      </c>
      <c r="D124" s="348">
        <v>4.32</v>
      </c>
      <c r="E124" s="349">
        <v>774771</v>
      </c>
      <c r="F124" s="348">
        <v>6.61</v>
      </c>
      <c r="G124" s="348">
        <v>28.72</v>
      </c>
      <c r="H124" s="348">
        <v>40.340000000000003</v>
      </c>
      <c r="I124" s="348">
        <v>24.33</v>
      </c>
      <c r="J124" s="352" t="s">
        <v>407</v>
      </c>
    </row>
    <row r="125" spans="1:10" ht="15.75" thickBot="1" x14ac:dyDescent="0.3">
      <c r="A125" s="352" t="s">
        <v>500</v>
      </c>
      <c r="B125" s="348" t="s">
        <v>359</v>
      </c>
      <c r="C125" s="349">
        <v>1898400</v>
      </c>
      <c r="D125" s="348">
        <v>2.58</v>
      </c>
      <c r="E125" s="349">
        <v>736370</v>
      </c>
      <c r="F125" s="348">
        <v>26.47</v>
      </c>
      <c r="G125" s="348">
        <v>49.93</v>
      </c>
      <c r="H125" s="348">
        <v>19.72</v>
      </c>
      <c r="I125" s="348">
        <v>3.88</v>
      </c>
      <c r="J125" s="352" t="s">
        <v>364</v>
      </c>
    </row>
    <row r="126" spans="1:10" ht="15.75" thickBot="1" x14ac:dyDescent="0.3">
      <c r="A126" s="352" t="s">
        <v>501</v>
      </c>
      <c r="B126" s="348" t="s">
        <v>362</v>
      </c>
      <c r="C126" s="349">
        <v>2374698</v>
      </c>
      <c r="D126" s="348">
        <v>3.52</v>
      </c>
      <c r="E126" s="349">
        <v>673860</v>
      </c>
      <c r="F126" s="348">
        <v>27.89</v>
      </c>
      <c r="G126" s="348">
        <v>32.32</v>
      </c>
      <c r="H126" s="348">
        <v>20.48</v>
      </c>
      <c r="I126" s="348">
        <v>19.309999999999999</v>
      </c>
      <c r="J126" s="352" t="s">
        <v>364</v>
      </c>
    </row>
    <row r="127" spans="1:10" ht="15.75" thickBot="1" x14ac:dyDescent="0.3">
      <c r="A127" s="352" t="s">
        <v>502</v>
      </c>
      <c r="B127" s="348" t="s">
        <v>362</v>
      </c>
      <c r="C127" s="349">
        <v>2007201</v>
      </c>
      <c r="D127" s="348">
        <v>3.34</v>
      </c>
      <c r="E127" s="349">
        <v>600072</v>
      </c>
      <c r="F127" s="348">
        <v>20.66</v>
      </c>
      <c r="G127" s="348">
        <v>37.909999999999997</v>
      </c>
      <c r="H127" s="348">
        <v>27.9</v>
      </c>
      <c r="I127" s="348">
        <v>13.52</v>
      </c>
      <c r="J127" s="352" t="s">
        <v>366</v>
      </c>
    </row>
    <row r="128" spans="1:10" ht="15.75" thickBot="1" x14ac:dyDescent="0.3">
      <c r="A128" s="352" t="s">
        <v>503</v>
      </c>
      <c r="B128" s="348" t="s">
        <v>362</v>
      </c>
      <c r="C128" s="349">
        <v>2504498</v>
      </c>
      <c r="D128" s="348">
        <v>4.24</v>
      </c>
      <c r="E128" s="349">
        <v>590931</v>
      </c>
      <c r="F128" s="348">
        <v>17.45</v>
      </c>
      <c r="G128" s="348">
        <v>29.84</v>
      </c>
      <c r="H128" s="348">
        <v>25.56</v>
      </c>
      <c r="I128" s="348">
        <v>27.16</v>
      </c>
      <c r="J128" s="352" t="s">
        <v>369</v>
      </c>
    </row>
    <row r="129" spans="1:10" ht="15.75" thickBot="1" x14ac:dyDescent="0.3">
      <c r="A129" s="352" t="s">
        <v>504</v>
      </c>
      <c r="B129" s="348" t="s">
        <v>359</v>
      </c>
      <c r="C129" s="349">
        <v>1328976</v>
      </c>
      <c r="D129" s="348">
        <v>2.2999999999999998</v>
      </c>
      <c r="E129" s="349">
        <v>578440</v>
      </c>
      <c r="F129" s="348">
        <v>33.9</v>
      </c>
      <c r="G129" s="348">
        <v>47.28</v>
      </c>
      <c r="H129" s="348">
        <v>17.14</v>
      </c>
      <c r="I129" s="348">
        <v>1.67</v>
      </c>
      <c r="J129" s="352" t="s">
        <v>364</v>
      </c>
    </row>
    <row r="130" spans="1:10" ht="15.75" thickBot="1" x14ac:dyDescent="0.3">
      <c r="A130" s="352" t="s">
        <v>505</v>
      </c>
      <c r="B130" s="348" t="s">
        <v>347</v>
      </c>
      <c r="C130" s="349">
        <v>4445262</v>
      </c>
      <c r="D130" s="348">
        <v>8.02</v>
      </c>
      <c r="E130" s="349">
        <v>554430</v>
      </c>
      <c r="F130" s="348">
        <v>10.62</v>
      </c>
      <c r="G130" s="348">
        <v>19.07</v>
      </c>
      <c r="H130" s="348">
        <v>18.37</v>
      </c>
      <c r="I130" s="348">
        <v>51.94</v>
      </c>
      <c r="J130" s="352" t="s">
        <v>506</v>
      </c>
    </row>
    <row r="131" spans="1:10" ht="15.75" thickBot="1" x14ac:dyDescent="0.3">
      <c r="A131" s="352" t="s">
        <v>507</v>
      </c>
      <c r="B131" s="348" t="s">
        <v>362</v>
      </c>
      <c r="C131" s="349">
        <v>2176766</v>
      </c>
      <c r="D131" s="348">
        <v>4.0999999999999996</v>
      </c>
      <c r="E131" s="349">
        <v>531230</v>
      </c>
      <c r="F131" s="348">
        <v>22.42</v>
      </c>
      <c r="G131" s="348">
        <v>28.48</v>
      </c>
      <c r="H131" s="348">
        <v>22.5</v>
      </c>
      <c r="I131" s="348">
        <v>26.6</v>
      </c>
      <c r="J131" s="352" t="s">
        <v>402</v>
      </c>
    </row>
    <row r="132" spans="1:10" ht="15.75" thickBot="1" x14ac:dyDescent="0.3">
      <c r="A132" s="352" t="s">
        <v>508</v>
      </c>
      <c r="B132" s="348" t="s">
        <v>442</v>
      </c>
      <c r="C132" s="349">
        <v>1366725</v>
      </c>
      <c r="D132" s="348">
        <v>3.29</v>
      </c>
      <c r="E132" s="349">
        <v>415308</v>
      </c>
      <c r="F132" s="348">
        <v>19.21</v>
      </c>
      <c r="G132" s="348">
        <v>39.79</v>
      </c>
      <c r="H132" s="348">
        <v>29.36</v>
      </c>
      <c r="I132" s="348">
        <v>11.64</v>
      </c>
      <c r="J132" s="352" t="s">
        <v>364</v>
      </c>
    </row>
    <row r="133" spans="1:10" ht="15.75" thickBot="1" x14ac:dyDescent="0.3">
      <c r="A133" s="352" t="s">
        <v>509</v>
      </c>
      <c r="B133" s="348" t="s">
        <v>362</v>
      </c>
      <c r="C133" s="349">
        <v>1266000</v>
      </c>
      <c r="D133" s="348">
        <v>3.48</v>
      </c>
      <c r="E133" s="349">
        <v>364285</v>
      </c>
      <c r="F133" s="348">
        <v>9.9700000000000006</v>
      </c>
      <c r="G133" s="348">
        <v>41.02</v>
      </c>
      <c r="H133" s="348">
        <v>40.24</v>
      </c>
      <c r="I133" s="348">
        <v>8.77</v>
      </c>
      <c r="J133" s="352" t="s">
        <v>364</v>
      </c>
    </row>
    <row r="134" spans="1:10" ht="15.75" thickBot="1" x14ac:dyDescent="0.3">
      <c r="A134" s="352" t="s">
        <v>510</v>
      </c>
      <c r="B134" s="348" t="s">
        <v>359</v>
      </c>
      <c r="C134" s="349">
        <v>875900</v>
      </c>
      <c r="D134" s="348">
        <v>2.75</v>
      </c>
      <c r="E134" s="349">
        <v>318823</v>
      </c>
      <c r="F134" s="348">
        <v>18.72</v>
      </c>
      <c r="G134" s="348">
        <v>52.55</v>
      </c>
      <c r="H134" s="348">
        <v>25.82</v>
      </c>
      <c r="I134" s="348">
        <v>2.92</v>
      </c>
      <c r="J134" s="352" t="s">
        <v>364</v>
      </c>
    </row>
    <row r="135" spans="1:10" ht="15.75" thickBot="1" x14ac:dyDescent="0.3">
      <c r="A135" s="352" t="s">
        <v>511</v>
      </c>
      <c r="B135" s="348" t="s">
        <v>362</v>
      </c>
      <c r="C135" s="349">
        <v>2335504</v>
      </c>
      <c r="D135" s="348">
        <v>8.23</v>
      </c>
      <c r="E135" s="349">
        <v>283790</v>
      </c>
      <c r="F135" s="348">
        <v>8.39</v>
      </c>
      <c r="G135" s="348">
        <v>12.96</v>
      </c>
      <c r="H135" s="348">
        <v>17.23</v>
      </c>
      <c r="I135" s="348">
        <v>61.42</v>
      </c>
      <c r="J135" s="352" t="s">
        <v>369</v>
      </c>
    </row>
    <row r="136" spans="1:10" ht="15.75" thickBot="1" x14ac:dyDescent="0.3">
      <c r="A136" s="352" t="s">
        <v>512</v>
      </c>
      <c r="B136" s="348" t="s">
        <v>359</v>
      </c>
      <c r="C136" s="349">
        <v>626108</v>
      </c>
      <c r="D136" s="348">
        <v>2.41</v>
      </c>
      <c r="E136" s="349">
        <v>259519</v>
      </c>
      <c r="F136" s="348">
        <v>32.299999999999997</v>
      </c>
      <c r="G136" s="348">
        <v>44.15</v>
      </c>
      <c r="H136" s="348">
        <v>21.45</v>
      </c>
      <c r="I136" s="348">
        <v>2.1</v>
      </c>
      <c r="J136" s="352" t="s">
        <v>364</v>
      </c>
    </row>
    <row r="137" spans="1:10" ht="15.75" thickBot="1" x14ac:dyDescent="0.3">
      <c r="A137" s="352" t="s">
        <v>513</v>
      </c>
      <c r="B137" s="348" t="s">
        <v>347</v>
      </c>
      <c r="C137" s="349">
        <v>1299412</v>
      </c>
      <c r="D137" s="348">
        <v>5.27</v>
      </c>
      <c r="E137" s="349">
        <v>246665</v>
      </c>
      <c r="F137" s="348">
        <v>6.41</v>
      </c>
      <c r="G137" s="348">
        <v>20.61</v>
      </c>
      <c r="H137" s="348">
        <v>29.59</v>
      </c>
      <c r="I137" s="348">
        <v>43.4</v>
      </c>
      <c r="J137" s="352" t="s">
        <v>379</v>
      </c>
    </row>
    <row r="138" spans="1:10" ht="15.75" thickBot="1" x14ac:dyDescent="0.3">
      <c r="A138" s="352" t="s">
        <v>514</v>
      </c>
      <c r="B138" s="348" t="s">
        <v>362</v>
      </c>
      <c r="C138" s="349">
        <v>1136261</v>
      </c>
      <c r="D138" s="348">
        <v>4.74</v>
      </c>
      <c r="E138" s="349">
        <v>239860</v>
      </c>
      <c r="F138" s="348">
        <v>17.649999999999999</v>
      </c>
      <c r="G138" s="348">
        <v>24.63</v>
      </c>
      <c r="H138" s="348">
        <v>21.6</v>
      </c>
      <c r="I138" s="348">
        <v>36.119999999999997</v>
      </c>
      <c r="J138" s="352" t="s">
        <v>389</v>
      </c>
    </row>
    <row r="139" spans="1:10" ht="15.75" thickBot="1" x14ac:dyDescent="0.3">
      <c r="A139" s="352" t="s">
        <v>515</v>
      </c>
      <c r="B139" s="348" t="s">
        <v>347</v>
      </c>
      <c r="C139" s="349">
        <v>696100</v>
      </c>
      <c r="D139" s="348">
        <v>3.07</v>
      </c>
      <c r="E139" s="349">
        <v>227031</v>
      </c>
      <c r="F139" s="348">
        <v>15.13</v>
      </c>
      <c r="G139" s="348">
        <v>48.16</v>
      </c>
      <c r="H139" s="348">
        <v>31.06</v>
      </c>
      <c r="I139" s="348">
        <v>5.64</v>
      </c>
      <c r="J139" s="352" t="s">
        <v>379</v>
      </c>
    </row>
    <row r="140" spans="1:10" ht="15.75" thickBot="1" x14ac:dyDescent="0.3">
      <c r="A140" s="352" t="s">
        <v>516</v>
      </c>
      <c r="B140" s="348" t="s">
        <v>356</v>
      </c>
      <c r="C140" s="349">
        <v>744962</v>
      </c>
      <c r="D140" s="348">
        <v>3.8</v>
      </c>
      <c r="E140" s="349">
        <v>196290</v>
      </c>
      <c r="F140" s="348">
        <v>12.87</v>
      </c>
      <c r="G140" s="348">
        <v>36.69</v>
      </c>
      <c r="H140" s="348">
        <v>32.090000000000003</v>
      </c>
      <c r="I140" s="348">
        <v>18.350000000000001</v>
      </c>
      <c r="J140" s="352" t="s">
        <v>374</v>
      </c>
    </row>
    <row r="141" spans="1:10" ht="15.75" thickBot="1" x14ac:dyDescent="0.3">
      <c r="A141" s="352" t="s">
        <v>517</v>
      </c>
      <c r="B141" s="348" t="s">
        <v>398</v>
      </c>
      <c r="C141" s="349">
        <v>889327</v>
      </c>
      <c r="D141" s="348">
        <v>4.57</v>
      </c>
      <c r="E141" s="349">
        <v>194497</v>
      </c>
      <c r="F141" s="348">
        <v>5.94</v>
      </c>
      <c r="G141" s="348">
        <v>30.1</v>
      </c>
      <c r="H141" s="348">
        <v>34.31</v>
      </c>
      <c r="I141" s="348">
        <v>29.64</v>
      </c>
      <c r="J141" s="352" t="s">
        <v>366</v>
      </c>
    </row>
    <row r="142" spans="1:10" ht="15.75" thickBot="1" x14ac:dyDescent="0.3">
      <c r="A142" s="352" t="s">
        <v>518</v>
      </c>
      <c r="B142" s="348" t="s">
        <v>359</v>
      </c>
      <c r="C142" s="349">
        <v>621873</v>
      </c>
      <c r="D142" s="348">
        <v>3.21</v>
      </c>
      <c r="E142" s="349">
        <v>193488</v>
      </c>
      <c r="F142" s="348">
        <v>18.13</v>
      </c>
      <c r="G142" s="348">
        <v>39.58</v>
      </c>
      <c r="H142" s="348">
        <v>33.35</v>
      </c>
      <c r="I142" s="348">
        <v>8.94</v>
      </c>
      <c r="J142" s="352" t="s">
        <v>364</v>
      </c>
    </row>
    <row r="143" spans="1:10" ht="15.75" thickBot="1" x14ac:dyDescent="0.3">
      <c r="A143" s="352" t="s">
        <v>519</v>
      </c>
      <c r="B143" s="348" t="s">
        <v>359</v>
      </c>
      <c r="C143" s="349">
        <v>514564</v>
      </c>
      <c r="D143" s="348">
        <v>2.85</v>
      </c>
      <c r="E143" s="349">
        <v>180375</v>
      </c>
      <c r="F143" s="348">
        <v>17.149999999999999</v>
      </c>
      <c r="G143" s="348">
        <v>49.78</v>
      </c>
      <c r="H143" s="348">
        <v>30.4</v>
      </c>
      <c r="I143" s="348">
        <v>2.66</v>
      </c>
      <c r="J143" s="352" t="s">
        <v>364</v>
      </c>
    </row>
    <row r="144" spans="1:10" ht="15.75" thickBot="1" x14ac:dyDescent="0.3">
      <c r="A144" s="352" t="s">
        <v>520</v>
      </c>
      <c r="B144" s="348" t="s">
        <v>442</v>
      </c>
      <c r="C144" s="349">
        <v>395700</v>
      </c>
      <c r="D144" s="348">
        <v>2.2999999999999998</v>
      </c>
      <c r="E144" s="349">
        <v>172304</v>
      </c>
      <c r="F144" s="348">
        <v>34.520000000000003</v>
      </c>
      <c r="G144" s="348">
        <v>47.03</v>
      </c>
      <c r="H144" s="348">
        <v>16.420000000000002</v>
      </c>
      <c r="I144" s="348">
        <v>2.0299999999999998</v>
      </c>
      <c r="J144" s="352" t="s">
        <v>350</v>
      </c>
    </row>
    <row r="145" spans="1:10" ht="15.75" thickBot="1" x14ac:dyDescent="0.3">
      <c r="A145" s="352" t="s">
        <v>521</v>
      </c>
      <c r="B145" s="348" t="s">
        <v>356</v>
      </c>
      <c r="C145" s="349">
        <v>590100</v>
      </c>
      <c r="D145" s="348">
        <v>3.94</v>
      </c>
      <c r="E145" s="349">
        <v>149741</v>
      </c>
      <c r="F145" s="348">
        <v>14.97</v>
      </c>
      <c r="G145" s="348">
        <v>32.770000000000003</v>
      </c>
      <c r="H145" s="348">
        <v>31.85</v>
      </c>
      <c r="I145" s="348">
        <v>20.41</v>
      </c>
      <c r="J145" s="352" t="s">
        <v>383</v>
      </c>
    </row>
    <row r="146" spans="1:10" ht="15.75" thickBot="1" x14ac:dyDescent="0.3">
      <c r="A146" s="352" t="s">
        <v>522</v>
      </c>
      <c r="B146" s="348" t="s">
        <v>362</v>
      </c>
      <c r="C146" s="349">
        <v>758316</v>
      </c>
      <c r="D146" s="348">
        <v>5.37</v>
      </c>
      <c r="E146" s="349">
        <v>141171</v>
      </c>
      <c r="F146" s="348">
        <v>4.91</v>
      </c>
      <c r="G146" s="348">
        <v>22.92</v>
      </c>
      <c r="H146" s="348">
        <v>28.71</v>
      </c>
      <c r="I146" s="348">
        <v>43.46</v>
      </c>
      <c r="J146" s="352" t="s">
        <v>402</v>
      </c>
    </row>
    <row r="147" spans="1:10" ht="15.75" thickBot="1" x14ac:dyDescent="0.3">
      <c r="A147" s="352" t="s">
        <v>523</v>
      </c>
      <c r="B147" s="348" t="s">
        <v>442</v>
      </c>
      <c r="C147" s="349">
        <v>389410</v>
      </c>
      <c r="D147" s="348">
        <v>3.4</v>
      </c>
      <c r="E147" s="349">
        <v>114679</v>
      </c>
      <c r="F147" s="348">
        <v>17.73</v>
      </c>
      <c r="G147" s="348">
        <v>40.33</v>
      </c>
      <c r="H147" s="348">
        <v>29.15</v>
      </c>
      <c r="I147" s="348">
        <v>12.79</v>
      </c>
      <c r="J147" s="352" t="s">
        <v>357</v>
      </c>
    </row>
    <row r="148" spans="1:10" ht="15.75" thickBot="1" x14ac:dyDescent="0.3">
      <c r="A148" s="352" t="s">
        <v>524</v>
      </c>
      <c r="B148" s="348" t="s">
        <v>362</v>
      </c>
      <c r="C148" s="349">
        <v>383135</v>
      </c>
      <c r="D148" s="348">
        <v>5.4</v>
      </c>
      <c r="E148" s="349">
        <v>70952</v>
      </c>
      <c r="F148" s="348">
        <v>4.49</v>
      </c>
      <c r="G148" s="348">
        <v>22.28</v>
      </c>
      <c r="H148" s="348">
        <v>33.5</v>
      </c>
      <c r="I148" s="348">
        <v>39.729999999999997</v>
      </c>
      <c r="J148" s="352" t="s">
        <v>354</v>
      </c>
    </row>
    <row r="149" spans="1:10" ht="15.75" thickBot="1" x14ac:dyDescent="0.3">
      <c r="A149" s="352" t="s">
        <v>525</v>
      </c>
      <c r="B149" s="348" t="s">
        <v>442</v>
      </c>
      <c r="C149" s="349">
        <v>112269</v>
      </c>
      <c r="D149" s="348">
        <v>2.89</v>
      </c>
      <c r="E149" s="349">
        <v>38855</v>
      </c>
      <c r="F149" s="348">
        <v>21.37</v>
      </c>
      <c r="G149" s="348">
        <v>46.77</v>
      </c>
      <c r="H149" s="348">
        <v>25.59</v>
      </c>
      <c r="I149" s="348">
        <v>6.28</v>
      </c>
      <c r="J149" s="352" t="s">
        <v>357</v>
      </c>
    </row>
    <row r="150" spans="1:10" ht="15.75" thickBot="1" x14ac:dyDescent="0.3">
      <c r="A150" s="352" t="s">
        <v>526</v>
      </c>
      <c r="B150" s="348" t="s">
        <v>359</v>
      </c>
      <c r="C150" s="349">
        <v>83314</v>
      </c>
      <c r="D150" s="348">
        <v>2.2799999999999998</v>
      </c>
      <c r="E150" s="349">
        <v>36478</v>
      </c>
      <c r="F150" s="348">
        <v>30.07</v>
      </c>
      <c r="G150" s="348">
        <v>51.53</v>
      </c>
      <c r="H150" s="348">
        <v>16.84</v>
      </c>
      <c r="I150" s="348">
        <v>1.56</v>
      </c>
      <c r="J150" s="352" t="s">
        <v>379</v>
      </c>
    </row>
    <row r="151" spans="1:10" ht="15.75" thickBot="1" x14ac:dyDescent="0.3">
      <c r="A151" s="352" t="s">
        <v>527</v>
      </c>
      <c r="B151" s="348" t="s">
        <v>398</v>
      </c>
      <c r="C151" s="349">
        <v>202506</v>
      </c>
      <c r="D151" s="348">
        <v>6.75</v>
      </c>
      <c r="E151" s="349">
        <v>29995</v>
      </c>
      <c r="F151" s="348">
        <v>4.18</v>
      </c>
      <c r="G151" s="348">
        <v>14.88</v>
      </c>
      <c r="H151" s="348">
        <v>21.89</v>
      </c>
      <c r="I151" s="348">
        <v>59.05</v>
      </c>
      <c r="J151" s="352" t="s">
        <v>379</v>
      </c>
    </row>
    <row r="152" spans="1:10" ht="15.75" thickBot="1" x14ac:dyDescent="0.3">
      <c r="A152" s="352" t="s">
        <v>528</v>
      </c>
      <c r="B152" s="348" t="s">
        <v>442</v>
      </c>
      <c r="C152" s="349">
        <v>64054</v>
      </c>
      <c r="D152" s="348">
        <v>2.2599999999999998</v>
      </c>
      <c r="E152" s="349">
        <v>28314</v>
      </c>
      <c r="F152" s="348">
        <v>34.090000000000003</v>
      </c>
      <c r="G152" s="348">
        <v>48.39</v>
      </c>
      <c r="H152" s="348">
        <v>15.81</v>
      </c>
      <c r="I152" s="348">
        <v>1.7</v>
      </c>
      <c r="J152" s="352" t="s">
        <v>379</v>
      </c>
    </row>
    <row r="153" spans="1:10" ht="15.75" thickBot="1" x14ac:dyDescent="0.3">
      <c r="A153" s="352" t="s">
        <v>529</v>
      </c>
      <c r="B153" s="348" t="s">
        <v>359</v>
      </c>
      <c r="C153" s="349">
        <v>38749</v>
      </c>
      <c r="D153" s="348">
        <v>2.3199999999999998</v>
      </c>
      <c r="E153" s="349">
        <v>16700</v>
      </c>
      <c r="F153" s="348">
        <v>34.17</v>
      </c>
      <c r="G153" s="348">
        <v>44.75</v>
      </c>
      <c r="H153" s="348">
        <v>19.5</v>
      </c>
      <c r="I153" s="348">
        <v>1.58</v>
      </c>
      <c r="J153" s="352" t="s">
        <v>357</v>
      </c>
    </row>
    <row r="154" spans="1:10" ht="15.75" thickBot="1" x14ac:dyDescent="0.3">
      <c r="A154" s="352" t="s">
        <v>530</v>
      </c>
      <c r="B154" s="348" t="s">
        <v>359</v>
      </c>
      <c r="C154" s="349">
        <v>10379295</v>
      </c>
      <c r="D154" s="348">
        <v>2.17</v>
      </c>
      <c r="E154" s="349">
        <v>4776239</v>
      </c>
      <c r="F154" s="348">
        <v>40.32</v>
      </c>
      <c r="G154" s="348">
        <v>38.32</v>
      </c>
      <c r="H154" s="348">
        <v>14.86</v>
      </c>
      <c r="I154" s="348" t="s">
        <v>531</v>
      </c>
      <c r="J154" s="352" t="s">
        <v>532</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61C8E-5AAC-4E25-8963-536DC5EAEC2E}">
  <sheetPr codeName="Sheet4"/>
  <dimension ref="A1:W68"/>
  <sheetViews>
    <sheetView showGridLines="0" topLeftCell="A16" workbookViewId="0">
      <selection activeCell="N23" sqref="N23:N35"/>
    </sheetView>
  </sheetViews>
  <sheetFormatPr defaultRowHeight="15" x14ac:dyDescent="0.25"/>
  <cols>
    <col min="1" max="1" width="9.5703125" bestFit="1" customWidth="1"/>
    <col min="2" max="2" width="11" bestFit="1" customWidth="1"/>
    <col min="3" max="3" width="13" bestFit="1" customWidth="1"/>
    <col min="5" max="5" width="9.5703125" bestFit="1" customWidth="1"/>
    <col min="6" max="6" width="20.85546875" bestFit="1" customWidth="1"/>
    <col min="7" max="7" width="9" bestFit="1" customWidth="1"/>
    <col min="9" max="9" width="9.5703125" bestFit="1" customWidth="1"/>
    <col min="10" max="10" width="20.7109375" bestFit="1" customWidth="1"/>
    <col min="11" max="11" width="9" bestFit="1" customWidth="1"/>
    <col min="13" max="13" width="9.5703125" bestFit="1" customWidth="1"/>
    <col min="14" max="14" width="23.42578125" bestFit="1" customWidth="1"/>
    <col min="15" max="15" width="9" bestFit="1" customWidth="1"/>
    <col min="16" max="16" width="8.42578125" bestFit="1" customWidth="1"/>
    <col min="17" max="17" width="13.28515625" bestFit="1" customWidth="1"/>
    <col min="18" max="18" width="10.5703125" bestFit="1" customWidth="1"/>
    <col min="19" max="19" width="9" bestFit="1" customWidth="1"/>
    <col min="20" max="20" width="10.85546875" bestFit="1" customWidth="1"/>
    <col min="21" max="21" width="9.5703125" bestFit="1" customWidth="1"/>
    <col min="22" max="22" width="16" bestFit="1" customWidth="1"/>
    <col min="23" max="23" width="9" bestFit="1" customWidth="1"/>
  </cols>
  <sheetData>
    <row r="1" spans="1:20" ht="18.75" x14ac:dyDescent="0.3">
      <c r="A1" s="428" t="s">
        <v>83</v>
      </c>
      <c r="B1" s="428"/>
      <c r="C1" s="428"/>
      <c r="E1" s="428" t="s">
        <v>85</v>
      </c>
      <c r="F1" s="428"/>
      <c r="G1" s="428"/>
      <c r="I1" s="428" t="s">
        <v>50</v>
      </c>
      <c r="J1" s="428"/>
      <c r="K1" s="428"/>
    </row>
    <row r="2" spans="1:20" x14ac:dyDescent="0.25">
      <c r="A2" s="20" t="s">
        <v>74</v>
      </c>
      <c r="B2" s="20" t="s">
        <v>83</v>
      </c>
      <c r="C2" s="20" t="s">
        <v>84</v>
      </c>
      <c r="E2" s="20" t="s">
        <v>74</v>
      </c>
      <c r="F2" s="20" t="s">
        <v>85</v>
      </c>
      <c r="G2" s="20" t="s">
        <v>84</v>
      </c>
      <c r="I2" s="20" t="s">
        <v>74</v>
      </c>
      <c r="J2" s="20" t="s">
        <v>50</v>
      </c>
      <c r="K2" s="20" t="s">
        <v>84</v>
      </c>
      <c r="M2" s="13" t="s">
        <v>74</v>
      </c>
      <c r="N2" s="13" t="s">
        <v>89</v>
      </c>
      <c r="P2" s="13" t="s">
        <v>74</v>
      </c>
      <c r="Q2" s="13" t="s">
        <v>47</v>
      </c>
      <c r="R2" s="9"/>
      <c r="S2" s="13" t="s">
        <v>74</v>
      </c>
      <c r="T2" s="13" t="s">
        <v>37</v>
      </c>
    </row>
    <row r="3" spans="1:20" x14ac:dyDescent="0.25">
      <c r="A3">
        <v>2021</v>
      </c>
      <c r="B3" s="29">
        <v>-131.97999999999999</v>
      </c>
      <c r="C3" s="5">
        <f>(B3-B4)/B4</f>
        <v>-1.0684135500090715</v>
      </c>
      <c r="E3">
        <v>2021</v>
      </c>
      <c r="F3" s="21">
        <v>12439</v>
      </c>
      <c r="G3" s="5">
        <f>(F3-F4)/F4</f>
        <v>0.13878970978668864</v>
      </c>
      <c r="I3">
        <v>2021</v>
      </c>
      <c r="J3" s="21">
        <v>6195</v>
      </c>
      <c r="K3" s="5">
        <f>(J3-J4)/J4</f>
        <v>0.35114503816793891</v>
      </c>
      <c r="M3" s="14">
        <v>2017</v>
      </c>
      <c r="N3" s="10">
        <v>9.8400000000000001E-2</v>
      </c>
      <c r="O3" s="24"/>
      <c r="P3" s="23">
        <v>2017</v>
      </c>
      <c r="Q3" s="11">
        <v>15</v>
      </c>
      <c r="R3" s="9"/>
      <c r="S3" s="14">
        <v>2017</v>
      </c>
      <c r="T3" s="10">
        <v>8.4000000000000005E-2</v>
      </c>
    </row>
    <row r="4" spans="1:20" x14ac:dyDescent="0.25">
      <c r="A4">
        <v>2020</v>
      </c>
      <c r="B4" s="29">
        <v>1929.15</v>
      </c>
      <c r="C4" s="5">
        <f>(B4-B5)/B5*-1</f>
        <v>1.6143085506120318</v>
      </c>
      <c r="E4">
        <v>2020</v>
      </c>
      <c r="F4" s="21">
        <v>10923</v>
      </c>
      <c r="G4" s="5">
        <f t="shared" ref="G4:G14" si="0">(F4-F5)/F5</f>
        <v>0.17199570815450643</v>
      </c>
      <c r="I4">
        <v>2020</v>
      </c>
      <c r="J4" s="21">
        <v>4585</v>
      </c>
      <c r="K4" s="5">
        <f t="shared" ref="K4:K14" si="1">(J4-J5)/J5</f>
        <v>0.760752688172043</v>
      </c>
      <c r="M4" s="28">
        <v>2018</v>
      </c>
      <c r="N4" s="10">
        <v>9.4700000000000006E-2</v>
      </c>
      <c r="O4" s="24"/>
      <c r="P4" s="25">
        <v>2018</v>
      </c>
      <c r="Q4" s="11">
        <v>16.2</v>
      </c>
      <c r="R4" s="9"/>
      <c r="S4" s="8">
        <v>2018</v>
      </c>
      <c r="T4" s="10">
        <v>0.1651</v>
      </c>
    </row>
    <row r="5" spans="1:20" x14ac:dyDescent="0.25">
      <c r="A5">
        <v>2019</v>
      </c>
      <c r="B5" s="29">
        <v>-3140.36</v>
      </c>
      <c r="C5" s="5">
        <f t="shared" ref="C5:C14" si="2">(B5-B6)/B6</f>
        <v>0.1001706119960904</v>
      </c>
      <c r="E5">
        <v>2019</v>
      </c>
      <c r="F5" s="21">
        <v>9320</v>
      </c>
      <c r="G5" s="5">
        <f t="shared" si="0"/>
        <v>0.22390019697964544</v>
      </c>
      <c r="I5">
        <v>2019</v>
      </c>
      <c r="J5" s="21">
        <v>2604</v>
      </c>
      <c r="K5" s="5">
        <f t="shared" si="1"/>
        <v>0.6224299065420561</v>
      </c>
      <c r="M5" s="28">
        <v>2019</v>
      </c>
      <c r="N5" s="10">
        <v>7.6100000000000001E-2</v>
      </c>
      <c r="O5" s="24"/>
      <c r="P5" s="25">
        <v>2019</v>
      </c>
      <c r="Q5" s="11">
        <v>18.899999999999999</v>
      </c>
      <c r="R5" s="9"/>
      <c r="S5" s="8">
        <v>2019</v>
      </c>
      <c r="T5" s="10">
        <v>0.1018</v>
      </c>
    </row>
    <row r="6" spans="1:20" x14ac:dyDescent="0.25">
      <c r="A6">
        <v>2018</v>
      </c>
      <c r="B6" s="29">
        <v>-2854.43</v>
      </c>
      <c r="C6" s="5">
        <f t="shared" si="2"/>
        <v>0.45689932372081143</v>
      </c>
      <c r="E6">
        <v>2018</v>
      </c>
      <c r="F6" s="21">
        <v>7615</v>
      </c>
      <c r="G6" s="5">
        <f t="shared" si="0"/>
        <v>0.21451355661881977</v>
      </c>
      <c r="I6">
        <v>2018</v>
      </c>
      <c r="J6" s="21">
        <v>1605</v>
      </c>
      <c r="K6" s="5">
        <f t="shared" si="1"/>
        <v>0.91299165673420735</v>
      </c>
      <c r="M6" s="28">
        <v>2020</v>
      </c>
      <c r="N6" s="10">
        <v>5.6099999999999997E-2</v>
      </c>
      <c r="O6" s="24"/>
      <c r="P6" s="25">
        <v>2020</v>
      </c>
      <c r="Q6" s="11">
        <v>23.2</v>
      </c>
      <c r="R6" s="9"/>
      <c r="S6" s="8">
        <v>2020</v>
      </c>
      <c r="T6" s="10">
        <v>0.54569999999999996</v>
      </c>
    </row>
    <row r="7" spans="1:20" x14ac:dyDescent="0.25">
      <c r="A7">
        <v>2017</v>
      </c>
      <c r="B7" s="29">
        <v>-1959.25</v>
      </c>
      <c r="C7" s="5">
        <f t="shared" si="2"/>
        <v>0.23874585872891421</v>
      </c>
      <c r="E7">
        <v>2017</v>
      </c>
      <c r="F7" s="21">
        <v>6270</v>
      </c>
      <c r="G7" s="5">
        <f t="shared" si="0"/>
        <v>0.27309644670050759</v>
      </c>
      <c r="I7">
        <v>2017</v>
      </c>
      <c r="J7" s="21">
        <v>839</v>
      </c>
      <c r="K7" s="5">
        <f t="shared" si="1"/>
        <v>1.2078947368421054</v>
      </c>
      <c r="M7" s="28">
        <v>2021</v>
      </c>
      <c r="N7" s="10">
        <v>5.9499999999999997E-2</v>
      </c>
      <c r="O7" s="24"/>
      <c r="P7" s="25">
        <v>2021</v>
      </c>
      <c r="Q7" s="11">
        <v>26.4</v>
      </c>
      <c r="R7" s="9"/>
      <c r="S7" s="8">
        <v>2021</v>
      </c>
      <c r="T7" s="10">
        <v>8.4000000000000005E-2</v>
      </c>
    </row>
    <row r="8" spans="1:20" x14ac:dyDescent="0.25">
      <c r="A8">
        <v>2016</v>
      </c>
      <c r="B8" s="29">
        <v>-1581.64</v>
      </c>
      <c r="C8" s="5">
        <f t="shared" si="2"/>
        <v>0.8813593595736835</v>
      </c>
      <c r="E8">
        <v>2016</v>
      </c>
      <c r="F8" s="21">
        <v>4925</v>
      </c>
      <c r="G8" s="5">
        <f t="shared" si="0"/>
        <v>0.38849732168029322</v>
      </c>
      <c r="I8">
        <v>2016</v>
      </c>
      <c r="J8" s="21">
        <v>380</v>
      </c>
      <c r="K8" s="5">
        <f t="shared" si="1"/>
        <v>0.24183006535947713</v>
      </c>
      <c r="M8" s="26" t="s">
        <v>80</v>
      </c>
      <c r="N8" s="17">
        <f>MIN(N3:N7)</f>
        <v>5.6099999999999997E-2</v>
      </c>
      <c r="O8" s="24"/>
      <c r="P8" s="26" t="s">
        <v>80</v>
      </c>
      <c r="Q8" s="16">
        <f>MIN(Q3:Q7)</f>
        <v>15</v>
      </c>
      <c r="R8" s="9"/>
      <c r="S8" s="18" t="s">
        <v>80</v>
      </c>
      <c r="T8" s="17">
        <f>MIN(T3:T7)</f>
        <v>8.4000000000000005E-2</v>
      </c>
    </row>
    <row r="9" spans="1:20" x14ac:dyDescent="0.25">
      <c r="A9">
        <v>2015</v>
      </c>
      <c r="B9" s="29">
        <v>-840.69</v>
      </c>
      <c r="C9" s="5">
        <f t="shared" si="2"/>
        <v>14.790570999248686</v>
      </c>
      <c r="E9">
        <v>2015</v>
      </c>
      <c r="F9" s="21">
        <v>3547</v>
      </c>
      <c r="G9" s="5">
        <f t="shared" si="0"/>
        <v>0.27498202731847593</v>
      </c>
      <c r="I9">
        <v>2015</v>
      </c>
      <c r="J9" s="21">
        <v>306</v>
      </c>
      <c r="K9" s="5">
        <f t="shared" si="1"/>
        <v>-0.24069478908188585</v>
      </c>
      <c r="M9" s="27" t="s">
        <v>81</v>
      </c>
      <c r="N9" s="12">
        <f>MAX(N3:N7)</f>
        <v>9.8400000000000001E-2</v>
      </c>
      <c r="O9" s="24"/>
      <c r="P9" s="27" t="s">
        <v>81</v>
      </c>
      <c r="Q9" s="15">
        <f>MAX(Q3:Q7)</f>
        <v>26.4</v>
      </c>
      <c r="R9" s="9"/>
      <c r="S9" s="19" t="s">
        <v>81</v>
      </c>
      <c r="T9" s="12">
        <f>MAX(T3:T7)</f>
        <v>0.54569999999999996</v>
      </c>
    </row>
    <row r="10" spans="1:20" x14ac:dyDescent="0.25">
      <c r="A10">
        <v>2014</v>
      </c>
      <c r="B10" s="29">
        <v>-53.24</v>
      </c>
      <c r="C10" s="5">
        <f t="shared" si="2"/>
        <v>-2.2185854886701764</v>
      </c>
      <c r="E10">
        <v>2014</v>
      </c>
      <c r="F10" s="21">
        <v>2782</v>
      </c>
      <c r="G10" s="5">
        <f t="shared" si="0"/>
        <v>0.24085637823371989</v>
      </c>
      <c r="I10">
        <v>2014</v>
      </c>
      <c r="J10" s="21">
        <v>403</v>
      </c>
      <c r="K10" s="5">
        <f t="shared" si="1"/>
        <v>0.76754385964912286</v>
      </c>
      <c r="M10" s="27" t="s">
        <v>82</v>
      </c>
      <c r="N10" s="12">
        <f>AVERAGE(N3:N7)</f>
        <v>7.6960000000000001E-2</v>
      </c>
      <c r="O10" s="24"/>
      <c r="P10" s="27" t="s">
        <v>82</v>
      </c>
      <c r="Q10" s="15">
        <f>AVERAGE(Q3:Q7)</f>
        <v>19.939999999999998</v>
      </c>
      <c r="R10" s="9"/>
      <c r="S10" s="19" t="s">
        <v>82</v>
      </c>
      <c r="T10" s="12">
        <f>AVERAGE(T3:T7)</f>
        <v>0.19611999999999999</v>
      </c>
    </row>
    <row r="11" spans="1:20" x14ac:dyDescent="0.25">
      <c r="A11">
        <v>2013</v>
      </c>
      <c r="B11" s="29">
        <v>43.69</v>
      </c>
      <c r="C11" s="5">
        <f t="shared" si="2"/>
        <v>-3.3376136971642585</v>
      </c>
      <c r="E11">
        <v>2013</v>
      </c>
      <c r="F11" s="21">
        <v>2242</v>
      </c>
      <c r="G11" s="5">
        <f t="shared" si="0"/>
        <v>0.31727379553466512</v>
      </c>
      <c r="I11">
        <v>2013</v>
      </c>
      <c r="J11" s="21">
        <v>228</v>
      </c>
      <c r="K11" s="5">
        <f t="shared" si="1"/>
        <v>3.56</v>
      </c>
      <c r="M11" s="27" t="s">
        <v>79</v>
      </c>
      <c r="N11" s="12">
        <f>MEDIAN(N3:N7)</f>
        <v>7.6100000000000001E-2</v>
      </c>
      <c r="O11" s="24"/>
      <c r="P11" s="27" t="s">
        <v>79</v>
      </c>
      <c r="Q11" s="15">
        <f>MEDIAN(Q3:Q7)</f>
        <v>18.899999999999999</v>
      </c>
      <c r="R11" s="8"/>
      <c r="S11" s="19" t="s">
        <v>79</v>
      </c>
      <c r="T11" s="12">
        <f>MEDIAN(T3:T7)</f>
        <v>0.1018</v>
      </c>
    </row>
    <row r="12" spans="1:20" x14ac:dyDescent="0.25">
      <c r="A12">
        <v>2012</v>
      </c>
      <c r="B12" s="29">
        <v>-18.690000000000001</v>
      </c>
      <c r="C12" s="5">
        <f t="shared" si="2"/>
        <v>-1.0697310002611649</v>
      </c>
      <c r="E12">
        <v>2012</v>
      </c>
      <c r="F12" s="21">
        <v>1702</v>
      </c>
      <c r="G12" s="5">
        <f t="shared" si="0"/>
        <v>1.0261904761904761</v>
      </c>
      <c r="I12">
        <v>2012</v>
      </c>
      <c r="J12" s="21">
        <v>50</v>
      </c>
      <c r="K12" s="5">
        <f t="shared" si="1"/>
        <v>-0.86702127659574468</v>
      </c>
    </row>
    <row r="13" spans="1:20" x14ac:dyDescent="0.25">
      <c r="A13">
        <v>2011</v>
      </c>
      <c r="B13" s="29">
        <v>268.02999999999997</v>
      </c>
      <c r="C13" s="5">
        <f t="shared" si="2"/>
        <v>0.10500494722955132</v>
      </c>
      <c r="E13">
        <v>2011</v>
      </c>
      <c r="F13" s="21">
        <v>840</v>
      </c>
      <c r="G13" s="5">
        <f t="shared" si="0"/>
        <v>1.4778761061946903</v>
      </c>
      <c r="I13">
        <v>2011</v>
      </c>
      <c r="J13" s="21">
        <v>376</v>
      </c>
      <c r="K13" s="5">
        <f t="shared" si="1"/>
        <v>0.323943661971831</v>
      </c>
    </row>
    <row r="14" spans="1:20" x14ac:dyDescent="0.25">
      <c r="A14">
        <v>2010</v>
      </c>
      <c r="B14" s="29">
        <v>242.56</v>
      </c>
      <c r="C14" s="5">
        <f t="shared" si="2"/>
        <v>-0.13101422276358685</v>
      </c>
      <c r="E14">
        <v>2010</v>
      </c>
      <c r="F14" s="21">
        <v>339</v>
      </c>
      <c r="G14" s="5">
        <f t="shared" si="0"/>
        <v>0.31395348837209303</v>
      </c>
      <c r="I14">
        <v>2010</v>
      </c>
      <c r="J14" s="21">
        <v>284</v>
      </c>
      <c r="K14" s="5">
        <f t="shared" si="1"/>
        <v>0.47916666666666669</v>
      </c>
    </row>
    <row r="15" spans="1:20" x14ac:dyDescent="0.25">
      <c r="A15">
        <v>2009</v>
      </c>
      <c r="B15" s="29">
        <v>279.13</v>
      </c>
      <c r="C15" s="5"/>
      <c r="E15">
        <v>2009</v>
      </c>
      <c r="F15" s="21">
        <v>258</v>
      </c>
      <c r="G15" s="5"/>
      <c r="I15">
        <v>2009</v>
      </c>
      <c r="J15" s="21">
        <v>192</v>
      </c>
      <c r="K15" s="5"/>
    </row>
    <row r="16" spans="1:20" x14ac:dyDescent="0.25">
      <c r="A16" t="s">
        <v>49</v>
      </c>
      <c r="B16" s="22"/>
      <c r="C16" s="7">
        <f>SUBTOTAL(101,Table1[YoY])</f>
        <v>0.8634751410201259</v>
      </c>
      <c r="E16" t="s">
        <v>49</v>
      </c>
      <c r="F16" s="22"/>
      <c r="G16" s="7">
        <f>SUBTOTAL(101,Table13[YoY])</f>
        <v>0.42182710098038179</v>
      </c>
      <c r="I16" t="s">
        <v>49</v>
      </c>
      <c r="J16" s="22"/>
      <c r="K16" s="7">
        <f>SUBTOTAL(101,Table134[YoY])</f>
        <v>0.6766651845356515</v>
      </c>
    </row>
    <row r="21" spans="1:23" ht="18.75" x14ac:dyDescent="0.3">
      <c r="A21" s="428" t="s">
        <v>86</v>
      </c>
      <c r="B21" s="428"/>
      <c r="C21" s="428"/>
      <c r="E21" s="428" t="s">
        <v>88</v>
      </c>
      <c r="F21" s="428"/>
      <c r="G21" s="428"/>
      <c r="I21" s="428" t="s">
        <v>87</v>
      </c>
      <c r="J21" s="428"/>
      <c r="K21" s="428"/>
      <c r="M21" s="428" t="s">
        <v>254</v>
      </c>
      <c r="N21" s="428"/>
      <c r="O21" s="428"/>
      <c r="P21" s="163"/>
      <c r="Q21" s="428" t="s">
        <v>254</v>
      </c>
      <c r="R21" s="428"/>
      <c r="S21" s="428"/>
      <c r="U21" s="428" t="s">
        <v>254</v>
      </c>
      <c r="V21" s="428"/>
      <c r="W21" s="428"/>
    </row>
    <row r="22" spans="1:23" x14ac:dyDescent="0.25">
      <c r="A22" s="20" t="s">
        <v>74</v>
      </c>
      <c r="B22" s="20" t="s">
        <v>86</v>
      </c>
      <c r="C22" s="20" t="s">
        <v>37</v>
      </c>
      <c r="E22" s="20" t="s">
        <v>74</v>
      </c>
      <c r="F22" s="20" t="s">
        <v>87</v>
      </c>
      <c r="G22" s="20" t="s">
        <v>84</v>
      </c>
      <c r="I22" s="20" t="s">
        <v>74</v>
      </c>
      <c r="J22" s="20" t="s">
        <v>87</v>
      </c>
      <c r="K22" s="20" t="s">
        <v>84</v>
      </c>
      <c r="M22" s="20" t="s">
        <v>74</v>
      </c>
      <c r="N22" s="20" t="s">
        <v>255</v>
      </c>
      <c r="O22" s="20" t="s">
        <v>84</v>
      </c>
      <c r="P22" s="20"/>
      <c r="Q22" s="20" t="s">
        <v>74</v>
      </c>
      <c r="R22" s="20" t="s">
        <v>255</v>
      </c>
      <c r="S22" s="20" t="s">
        <v>84</v>
      </c>
      <c r="U22" s="20" t="s">
        <v>74</v>
      </c>
      <c r="V22" s="20" t="s">
        <v>255</v>
      </c>
      <c r="W22" s="20" t="s">
        <v>84</v>
      </c>
    </row>
    <row r="23" spans="1:23" x14ac:dyDescent="0.25">
      <c r="A23">
        <v>2021</v>
      </c>
      <c r="B23" s="21">
        <v>724</v>
      </c>
      <c r="C23" s="5">
        <f>Table15[[#This Row],[TAXES]]/Table167[[#This Row],[REVENUE]]</f>
        <v>0.12397260273972603</v>
      </c>
      <c r="E23">
        <v>2021</v>
      </c>
      <c r="F23" s="21">
        <v>5840</v>
      </c>
      <c r="G23" s="5">
        <f>(F23-F24)/F24</f>
        <v>0.82557049077836819</v>
      </c>
      <c r="I23">
        <v>2021</v>
      </c>
      <c r="J23" s="21">
        <v>29698</v>
      </c>
      <c r="K23" s="5">
        <f>(J23-J24)/J24</f>
        <v>0.1881100976156185</v>
      </c>
      <c r="M23">
        <v>2021</v>
      </c>
      <c r="N23" s="21">
        <v>17333</v>
      </c>
      <c r="O23" s="5">
        <f>(N23-N24)/N24</f>
        <v>0.13465566902330453</v>
      </c>
      <c r="P23" s="5"/>
      <c r="Q23">
        <v>2021</v>
      </c>
      <c r="R23" s="21">
        <v>17333</v>
      </c>
      <c r="S23" s="5">
        <f>(R23-R24)/R24</f>
        <v>0.13465566902330453</v>
      </c>
      <c r="U23">
        <v>2021</v>
      </c>
      <c r="V23" s="21">
        <v>17333</v>
      </c>
      <c r="W23" s="5">
        <f>(V23-V24)/V24</f>
        <v>0.13465566902330453</v>
      </c>
    </row>
    <row r="24" spans="1:23" x14ac:dyDescent="0.25">
      <c r="A24">
        <v>2020</v>
      </c>
      <c r="B24" s="21">
        <v>438</v>
      </c>
      <c r="C24" s="5">
        <f>Table15[[#This Row],[TAXES]]/Table167[[#This Row],[REVENUE]]</f>
        <v>0.13691778680837763</v>
      </c>
      <c r="E24">
        <v>2020</v>
      </c>
      <c r="F24" s="21">
        <v>3199</v>
      </c>
      <c r="G24" s="5">
        <f t="shared" ref="G24:G34" si="3">(F24-F25)/F25</f>
        <v>0.55140640155189136</v>
      </c>
      <c r="I24">
        <v>2020</v>
      </c>
      <c r="J24" s="21">
        <v>24996</v>
      </c>
      <c r="K24" s="5">
        <f t="shared" ref="K24:K34" si="4">(J24-J25)/J25</f>
        <v>0.24012700932724748</v>
      </c>
      <c r="M24">
        <v>2020</v>
      </c>
      <c r="N24" s="21">
        <v>15276</v>
      </c>
      <c r="O24" s="5">
        <f t="shared" ref="O24:O34" si="5">(N24-N25)/N25</f>
        <v>0.22797427652733118</v>
      </c>
      <c r="P24" s="5"/>
      <c r="Q24">
        <v>2020</v>
      </c>
      <c r="R24" s="21">
        <v>15276</v>
      </c>
      <c r="S24" s="5">
        <f t="shared" ref="S24:S34" si="6">(R24-R25)/R25</f>
        <v>0.22797427652733118</v>
      </c>
      <c r="U24">
        <v>2020</v>
      </c>
      <c r="V24" s="21">
        <v>15276</v>
      </c>
      <c r="W24" s="5">
        <f t="shared" ref="W24:W34" si="7">(V24-V25)/V25</f>
        <v>0.22797427652733118</v>
      </c>
    </row>
    <row r="25" spans="1:23" x14ac:dyDescent="0.25">
      <c r="A25">
        <v>2019</v>
      </c>
      <c r="B25" s="21">
        <v>195</v>
      </c>
      <c r="C25" s="5">
        <f>Table15[[#This Row],[TAXES]]/Table167[[#This Row],[REVENUE]]</f>
        <v>9.4568380213385067E-2</v>
      </c>
      <c r="E25">
        <v>2019</v>
      </c>
      <c r="F25" s="21">
        <v>2062</v>
      </c>
      <c r="G25" s="5">
        <f t="shared" si="3"/>
        <v>0.68189233278955952</v>
      </c>
      <c r="I25">
        <v>2019</v>
      </c>
      <c r="J25" s="21">
        <v>20156</v>
      </c>
      <c r="K25" s="5">
        <f t="shared" si="4"/>
        <v>0.27618082816259337</v>
      </c>
      <c r="M25">
        <v>2019</v>
      </c>
      <c r="N25" s="21">
        <v>12440</v>
      </c>
      <c r="O25" s="5">
        <f t="shared" si="5"/>
        <v>0.2479935794542536</v>
      </c>
      <c r="P25" s="5"/>
      <c r="Q25">
        <v>2019</v>
      </c>
      <c r="R25" s="21">
        <v>12440</v>
      </c>
      <c r="S25" s="5">
        <f t="shared" si="6"/>
        <v>0.2479935794542536</v>
      </c>
      <c r="U25">
        <v>2019</v>
      </c>
      <c r="V25" s="21">
        <v>12440</v>
      </c>
      <c r="W25" s="5">
        <f t="shared" si="7"/>
        <v>0.2479935794542536</v>
      </c>
    </row>
    <row r="26" spans="1:23" x14ac:dyDescent="0.25">
      <c r="A26">
        <v>2018</v>
      </c>
      <c r="B26" s="21">
        <v>15</v>
      </c>
      <c r="C26" s="5">
        <f>Table15[[#This Row],[TAXES]]/Table167[[#This Row],[REVENUE]]</f>
        <v>1.2234910277324634E-2</v>
      </c>
      <c r="E26">
        <v>2018</v>
      </c>
      <c r="F26" s="21">
        <v>1226</v>
      </c>
      <c r="G26" s="5">
        <f t="shared" si="3"/>
        <v>1.5278350515463917</v>
      </c>
      <c r="I26">
        <v>2018</v>
      </c>
      <c r="J26" s="21">
        <v>15794</v>
      </c>
      <c r="K26" s="5">
        <f t="shared" si="4"/>
        <v>0.35075580833977543</v>
      </c>
      <c r="M26">
        <v>2018</v>
      </c>
      <c r="N26" s="21">
        <v>9968</v>
      </c>
      <c r="O26" s="5">
        <f t="shared" si="5"/>
        <v>0.24088136437196564</v>
      </c>
      <c r="P26" s="5"/>
      <c r="Q26">
        <v>2018</v>
      </c>
      <c r="R26" s="21">
        <v>9968</v>
      </c>
      <c r="S26" s="5">
        <f t="shared" si="6"/>
        <v>0.24088136437196564</v>
      </c>
      <c r="U26">
        <v>2018</v>
      </c>
      <c r="V26" s="21">
        <v>9968</v>
      </c>
      <c r="W26" s="5">
        <f t="shared" si="7"/>
        <v>0.24088136437196564</v>
      </c>
    </row>
    <row r="27" spans="1:23" x14ac:dyDescent="0.25">
      <c r="A27">
        <v>2017</v>
      </c>
      <c r="B27" s="21">
        <v>-74</v>
      </c>
      <c r="C27" s="5">
        <f>Table15[[#This Row],[TAXES]]/Table167[[#This Row],[REVENUE]]</f>
        <v>-0.15257731958762888</v>
      </c>
      <c r="E27">
        <v>2017</v>
      </c>
      <c r="F27" s="21">
        <v>485</v>
      </c>
      <c r="G27" s="5">
        <f t="shared" si="3"/>
        <v>0.85823754789272033</v>
      </c>
      <c r="I27">
        <v>2017</v>
      </c>
      <c r="J27" s="21">
        <f>11692713/1000</f>
        <v>11692.713</v>
      </c>
      <c r="K27" s="5">
        <f t="shared" si="4"/>
        <v>0.32405310836824819</v>
      </c>
      <c r="M27">
        <v>2017</v>
      </c>
      <c r="N27" s="21">
        <f>8033000/1000</f>
        <v>8033</v>
      </c>
      <c r="O27" s="5">
        <f t="shared" si="5"/>
        <v>0.28384209685152628</v>
      </c>
      <c r="P27" s="5"/>
      <c r="Q27">
        <v>2017</v>
      </c>
      <c r="R27" s="21">
        <v>8033</v>
      </c>
      <c r="S27" s="5">
        <f t="shared" si="6"/>
        <v>0.28384209685152628</v>
      </c>
      <c r="U27">
        <v>2017</v>
      </c>
      <c r="V27" s="21">
        <v>8033</v>
      </c>
      <c r="W27" s="5">
        <f t="shared" si="7"/>
        <v>0.28384209685152628</v>
      </c>
    </row>
    <row r="28" spans="1:23" x14ac:dyDescent="0.25">
      <c r="A28">
        <v>2016</v>
      </c>
      <c r="B28" s="21">
        <v>74</v>
      </c>
      <c r="C28" s="5">
        <f>Table15[[#This Row],[TAXES]]/Table167[[#This Row],[REVENUE]]</f>
        <v>0.28352490421455939</v>
      </c>
      <c r="E28">
        <v>2016</v>
      </c>
      <c r="F28" s="21">
        <v>261</v>
      </c>
      <c r="G28" s="5">
        <f t="shared" si="3"/>
        <v>0.8380281690140845</v>
      </c>
      <c r="I28">
        <v>2016</v>
      </c>
      <c r="J28" s="21">
        <v>8831</v>
      </c>
      <c r="K28" s="5">
        <f t="shared" si="4"/>
        <v>0.30250737463126842</v>
      </c>
      <c r="M28">
        <v>2016</v>
      </c>
      <c r="N28" s="21">
        <v>6257</v>
      </c>
      <c r="O28" s="5">
        <f t="shared" si="5"/>
        <v>0.3628839032890438</v>
      </c>
      <c r="P28" s="5"/>
      <c r="Q28">
        <v>2016</v>
      </c>
      <c r="R28" s="21">
        <v>6257</v>
      </c>
      <c r="S28" s="5">
        <f t="shared" si="6"/>
        <v>0.3628839032890438</v>
      </c>
      <c r="U28">
        <v>2016</v>
      </c>
      <c r="V28" s="21">
        <v>6257</v>
      </c>
      <c r="W28" s="5">
        <f t="shared" si="7"/>
        <v>0.3628839032890438</v>
      </c>
    </row>
    <row r="29" spans="1:23" x14ac:dyDescent="0.25">
      <c r="A29">
        <v>2015</v>
      </c>
      <c r="B29" s="21">
        <v>19</v>
      </c>
      <c r="C29" s="5">
        <f>Table15[[#This Row],[TAXES]]/Table167[[#This Row],[REVENUE]]</f>
        <v>0.13380281690140844</v>
      </c>
      <c r="E29">
        <v>2015</v>
      </c>
      <c r="F29" s="21">
        <v>142</v>
      </c>
      <c r="G29" s="5">
        <f t="shared" si="3"/>
        <v>-0.59312320916905448</v>
      </c>
      <c r="I29">
        <v>2015</v>
      </c>
      <c r="J29" s="21">
        <v>6780</v>
      </c>
      <c r="K29" s="5">
        <f t="shared" si="4"/>
        <v>0.23160762942779292</v>
      </c>
      <c r="M29">
        <v>2015</v>
      </c>
      <c r="N29" s="21">
        <v>4591</v>
      </c>
      <c r="O29" s="5">
        <f t="shared" si="5"/>
        <v>0.22328803623767651</v>
      </c>
      <c r="P29" s="5"/>
      <c r="Q29">
        <v>2015</v>
      </c>
      <c r="R29" s="21">
        <v>4591</v>
      </c>
      <c r="S29" s="5">
        <f t="shared" si="6"/>
        <v>0.22328803623767651</v>
      </c>
      <c r="U29">
        <v>2015</v>
      </c>
      <c r="V29" s="21">
        <v>4591</v>
      </c>
      <c r="W29" s="5">
        <f t="shared" si="7"/>
        <v>0.22328803623767651</v>
      </c>
    </row>
    <row r="30" spans="1:23" x14ac:dyDescent="0.25">
      <c r="A30">
        <v>2014</v>
      </c>
      <c r="B30" s="21">
        <v>83</v>
      </c>
      <c r="C30" s="5">
        <f>Table15[[#This Row],[TAXES]]/Table167[[#This Row],[REVENUE]]</f>
        <v>0.23782234957020057</v>
      </c>
      <c r="E30">
        <v>2014</v>
      </c>
      <c r="F30" s="21">
        <v>349</v>
      </c>
      <c r="G30" s="5">
        <f t="shared" si="3"/>
        <v>1.0409356725146199</v>
      </c>
      <c r="I30">
        <v>2014</v>
      </c>
      <c r="J30" s="21">
        <v>5505</v>
      </c>
      <c r="K30" s="5">
        <f t="shared" si="4"/>
        <v>0.25828571428571429</v>
      </c>
      <c r="M30">
        <v>2014</v>
      </c>
      <c r="N30" s="21">
        <v>3753</v>
      </c>
      <c r="O30" s="5">
        <f t="shared" si="5"/>
        <v>0.20404234841193455</v>
      </c>
      <c r="P30" s="5"/>
      <c r="Q30">
        <v>2014</v>
      </c>
      <c r="R30" s="21">
        <v>3753</v>
      </c>
      <c r="S30" s="5">
        <f t="shared" si="6"/>
        <v>0.20404234841193455</v>
      </c>
      <c r="U30">
        <v>2014</v>
      </c>
      <c r="V30" s="21">
        <v>3753</v>
      </c>
      <c r="W30" s="5">
        <f t="shared" si="7"/>
        <v>0.20404234841193455</v>
      </c>
    </row>
    <row r="31" spans="1:23" x14ac:dyDescent="0.25">
      <c r="A31">
        <v>2013</v>
      </c>
      <c r="B31" s="21">
        <v>59</v>
      </c>
      <c r="C31" s="5">
        <f>Table15[[#This Row],[TAXES]]/Table167[[#This Row],[REVENUE]]</f>
        <v>0.34502923976608185</v>
      </c>
      <c r="E31">
        <v>2013</v>
      </c>
      <c r="F31" s="21">
        <v>171</v>
      </c>
      <c r="G31" s="5">
        <f t="shared" si="3"/>
        <v>4.7</v>
      </c>
      <c r="I31">
        <v>2013</v>
      </c>
      <c r="J31" s="21">
        <v>4375</v>
      </c>
      <c r="K31" s="5">
        <f t="shared" si="4"/>
        <v>0.21224715987808257</v>
      </c>
      <c r="M31">
        <v>2013</v>
      </c>
      <c r="N31" s="21">
        <v>3117</v>
      </c>
      <c r="O31" s="5">
        <f t="shared" si="5"/>
        <v>0.17533936651583709</v>
      </c>
      <c r="P31" s="5"/>
      <c r="Q31">
        <v>2013</v>
      </c>
      <c r="R31" s="21">
        <v>3117</v>
      </c>
      <c r="S31" s="5">
        <f t="shared" si="6"/>
        <v>0.17533936651583709</v>
      </c>
      <c r="U31">
        <v>2013</v>
      </c>
      <c r="V31" s="21">
        <v>3117</v>
      </c>
      <c r="W31" s="5">
        <f t="shared" si="7"/>
        <v>0.17533936651583709</v>
      </c>
    </row>
    <row r="32" spans="1:23" x14ac:dyDescent="0.25">
      <c r="A32">
        <v>2012</v>
      </c>
      <c r="B32" s="21">
        <v>13</v>
      </c>
      <c r="C32" s="5">
        <f>Table15[[#This Row],[TAXES]]/Table167[[#This Row],[REVENUE]]</f>
        <v>0.43333333333333335</v>
      </c>
      <c r="E32">
        <v>2012</v>
      </c>
      <c r="F32" s="21">
        <v>30</v>
      </c>
      <c r="G32" s="5">
        <f t="shared" si="3"/>
        <v>-0.91666666666666663</v>
      </c>
      <c r="I32">
        <v>2012</v>
      </c>
      <c r="J32" s="21">
        <v>3609</v>
      </c>
      <c r="K32" s="5">
        <f t="shared" si="4"/>
        <v>0.12605304212168486</v>
      </c>
      <c r="M32">
        <v>2012</v>
      </c>
      <c r="N32" s="21">
        <v>2652</v>
      </c>
      <c r="O32" s="5">
        <f t="shared" si="5"/>
        <v>0.3</v>
      </c>
      <c r="P32" s="5"/>
      <c r="Q32">
        <v>2012</v>
      </c>
      <c r="R32" s="21">
        <v>2652</v>
      </c>
      <c r="S32" s="5">
        <f t="shared" si="6"/>
        <v>0.3</v>
      </c>
      <c r="U32">
        <v>2012</v>
      </c>
      <c r="V32" s="21">
        <v>2652</v>
      </c>
      <c r="W32" s="5">
        <f t="shared" si="7"/>
        <v>0.3</v>
      </c>
    </row>
    <row r="33" spans="1:23" x14ac:dyDescent="0.25">
      <c r="A33">
        <v>2011</v>
      </c>
      <c r="B33" s="21">
        <v>133</v>
      </c>
      <c r="C33" s="5">
        <f>Table15[[#This Row],[TAXES]]/Table167[[#This Row],[REVENUE]]</f>
        <v>0.36944444444444446</v>
      </c>
      <c r="E33">
        <v>2011</v>
      </c>
      <c r="F33" s="21">
        <v>360</v>
      </c>
      <c r="G33" s="5">
        <f t="shared" si="3"/>
        <v>0.34328358208955223</v>
      </c>
      <c r="I33">
        <v>2011</v>
      </c>
      <c r="J33" s="21">
        <v>3205</v>
      </c>
      <c r="K33" s="5">
        <f t="shared" si="4"/>
        <v>0.4817383263985206</v>
      </c>
      <c r="M33">
        <v>2011</v>
      </c>
      <c r="N33" s="21">
        <v>2040</v>
      </c>
      <c r="O33" s="5">
        <f t="shared" si="5"/>
        <v>0.50331613854089907</v>
      </c>
      <c r="P33" s="5"/>
      <c r="Q33">
        <v>2011</v>
      </c>
      <c r="R33" s="21">
        <v>2040</v>
      </c>
      <c r="S33" s="5">
        <f t="shared" si="6"/>
        <v>0.50331613854089907</v>
      </c>
      <c r="U33">
        <v>2011</v>
      </c>
      <c r="V33" s="21">
        <v>2040</v>
      </c>
      <c r="W33" s="5">
        <f t="shared" si="7"/>
        <v>0.50331613854089907</v>
      </c>
    </row>
    <row r="34" spans="1:23" x14ac:dyDescent="0.25">
      <c r="A34">
        <v>2010</v>
      </c>
      <c r="B34" s="21">
        <v>107</v>
      </c>
      <c r="C34" s="5">
        <f>Table15[[#This Row],[TAXES]]/Table167[[#This Row],[REVENUE]]</f>
        <v>0.39925373134328357</v>
      </c>
      <c r="E34">
        <v>2010</v>
      </c>
      <c r="F34" s="21">
        <v>268</v>
      </c>
      <c r="G34" s="5">
        <f t="shared" si="3"/>
        <v>0.39583333333333331</v>
      </c>
      <c r="I34">
        <v>2010</v>
      </c>
      <c r="J34" s="21">
        <v>2163</v>
      </c>
      <c r="K34" s="5">
        <f t="shared" si="4"/>
        <v>0.29520958083832333</v>
      </c>
      <c r="M34">
        <v>2010</v>
      </c>
      <c r="N34" s="21">
        <v>1357</v>
      </c>
      <c r="O34" s="5">
        <f t="shared" si="5"/>
        <v>0.25764596848934196</v>
      </c>
      <c r="P34" s="5"/>
      <c r="Q34">
        <v>2010</v>
      </c>
      <c r="R34" s="21">
        <v>1357</v>
      </c>
      <c r="S34" s="5">
        <f t="shared" si="6"/>
        <v>0.25764596848934196</v>
      </c>
      <c r="U34">
        <v>2010</v>
      </c>
      <c r="V34" s="21">
        <v>1357</v>
      </c>
      <c r="W34" s="5">
        <f t="shared" si="7"/>
        <v>0.25764596848934196</v>
      </c>
    </row>
    <row r="35" spans="1:23" x14ac:dyDescent="0.25">
      <c r="A35">
        <v>2009</v>
      </c>
      <c r="B35" s="21">
        <v>76</v>
      </c>
      <c r="C35" s="5">
        <f>Table15[[#This Row],[TAXES]]/Table167[[#This Row],[REVENUE]]</f>
        <v>0.39583333333333331</v>
      </c>
      <c r="E35">
        <v>2009</v>
      </c>
      <c r="F35" s="21">
        <v>192</v>
      </c>
      <c r="G35" s="5"/>
      <c r="I35">
        <v>2009</v>
      </c>
      <c r="J35" s="21">
        <v>1670</v>
      </c>
      <c r="K35" s="5"/>
      <c r="M35">
        <v>2009</v>
      </c>
      <c r="N35" s="21">
        <v>1079</v>
      </c>
      <c r="O35" s="5"/>
      <c r="P35" s="5"/>
      <c r="Q35">
        <v>2009</v>
      </c>
      <c r="R35" s="21">
        <v>1079</v>
      </c>
      <c r="S35" s="5"/>
      <c r="U35">
        <v>2009</v>
      </c>
      <c r="V35" s="21">
        <v>1079</v>
      </c>
      <c r="W35" s="5"/>
    </row>
    <row r="36" spans="1:23" x14ac:dyDescent="0.25">
      <c r="A36" t="s">
        <v>49</v>
      </c>
      <c r="B36" s="22"/>
      <c r="C36" s="7">
        <f>SUBTOTAL(101,Table15[Tax Rate])</f>
        <v>0.21639696256598689</v>
      </c>
      <c r="E36" t="s">
        <v>49</v>
      </c>
      <c r="F36" s="22"/>
      <c r="G36" s="7">
        <f>SUBTOTAL(101,Table167[YoY])</f>
        <v>0.85443605880623352</v>
      </c>
      <c r="I36" t="s">
        <v>49</v>
      </c>
      <c r="J36" s="22"/>
      <c r="K36" s="7">
        <f>SUBTOTAL(101,Table16[YoY])</f>
        <v>0.27390630661623921</v>
      </c>
      <c r="M36" t="s">
        <v>49</v>
      </c>
      <c r="N36" s="22"/>
      <c r="O36" s="7">
        <f>SUBTOTAL(101,Table168[YoY])</f>
        <v>0.26348856230942613</v>
      </c>
      <c r="P36" s="7"/>
      <c r="Q36" t="s">
        <v>49</v>
      </c>
      <c r="R36" s="22"/>
      <c r="S36" s="7">
        <f>SUBTOTAL(101,Table16812[YoY])</f>
        <v>0.26348856230942613</v>
      </c>
      <c r="U36" t="s">
        <v>49</v>
      </c>
      <c r="V36" s="22"/>
      <c r="W36" s="7">
        <f>SUBTOTAL(101,Table16813[YoY])</f>
        <v>0.26348856230942613</v>
      </c>
    </row>
    <row r="42" spans="1:23" ht="18.75" x14ac:dyDescent="0.3">
      <c r="A42" s="428" t="s">
        <v>248</v>
      </c>
      <c r="B42" s="428"/>
      <c r="C42" s="428"/>
      <c r="E42" s="428" t="s">
        <v>261</v>
      </c>
      <c r="F42" s="428"/>
      <c r="G42" s="428"/>
      <c r="I42" s="428" t="s">
        <v>249</v>
      </c>
      <c r="J42" s="428"/>
      <c r="K42" s="428"/>
      <c r="M42" s="428" t="s">
        <v>250</v>
      </c>
      <c r="N42" s="428"/>
      <c r="O42" s="428"/>
      <c r="Q42" s="428" t="s">
        <v>266</v>
      </c>
      <c r="R42" s="428"/>
      <c r="S42" s="428"/>
      <c r="U42" s="428" t="s">
        <v>279</v>
      </c>
      <c r="V42" s="428"/>
      <c r="W42" s="428"/>
    </row>
    <row r="43" spans="1:23" x14ac:dyDescent="0.25">
      <c r="A43" s="20" t="s">
        <v>74</v>
      </c>
      <c r="B43" s="20" t="s">
        <v>248</v>
      </c>
      <c r="C43" s="20" t="s">
        <v>84</v>
      </c>
      <c r="E43" s="20" t="s">
        <v>74</v>
      </c>
      <c r="F43" s="20" t="s">
        <v>262</v>
      </c>
      <c r="G43" s="20" t="s">
        <v>84</v>
      </c>
      <c r="I43" s="20" t="s">
        <v>74</v>
      </c>
      <c r="J43" s="20" t="s">
        <v>249</v>
      </c>
      <c r="K43" s="20" t="s">
        <v>84</v>
      </c>
      <c r="M43" s="20" t="s">
        <v>74</v>
      </c>
      <c r="N43" s="20" t="s">
        <v>251</v>
      </c>
      <c r="O43" s="20" t="s">
        <v>84</v>
      </c>
      <c r="Q43" s="20" t="s">
        <v>74</v>
      </c>
      <c r="R43" s="20" t="s">
        <v>266</v>
      </c>
      <c r="S43" s="20" t="s">
        <v>84</v>
      </c>
      <c r="U43" s="20" t="s">
        <v>74</v>
      </c>
      <c r="V43" s="20" t="s">
        <v>280</v>
      </c>
      <c r="W43" s="20" t="s">
        <v>84</v>
      </c>
    </row>
    <row r="44" spans="1:23" x14ac:dyDescent="0.25">
      <c r="A44">
        <v>2021</v>
      </c>
      <c r="B44" s="21">
        <v>1323</v>
      </c>
      <c r="C44" s="5">
        <f>(B44-B45)/B45</f>
        <v>0.37812499999999999</v>
      </c>
      <c r="E44">
        <v>2021</v>
      </c>
      <c r="F44" s="21">
        <v>35191</v>
      </c>
      <c r="G44" s="5">
        <f>(F44-F45)/F45</f>
        <v>0.23222101614202179</v>
      </c>
      <c r="I44">
        <v>2021</v>
      </c>
      <c r="J44" s="21">
        <v>8070</v>
      </c>
      <c r="K44" s="5">
        <f>(J44-J45)/J45</f>
        <v>-0.17332513829133375</v>
      </c>
      <c r="M44">
        <v>2021</v>
      </c>
      <c r="N44" s="21">
        <v>8489</v>
      </c>
      <c r="O44" s="5">
        <f>(N44-N45)/N45</f>
        <v>8.7496797335383042E-2</v>
      </c>
      <c r="Q44">
        <v>2021</v>
      </c>
      <c r="R44" s="21">
        <f>Table1691014[[#This Row],[CURRENT ASSETS]]-Table169101115[[#This Row],[CURRENT LIABILITES]]</f>
        <v>-419</v>
      </c>
      <c r="S44" s="5">
        <f>(R44-R45)/R45</f>
        <v>-1.2142126789366052</v>
      </c>
      <c r="U44">
        <v>2021</v>
      </c>
      <c r="V44" s="21">
        <f>Table1691011[[#This Row],[NWC]]-R45</f>
        <v>-2375</v>
      </c>
      <c r="W44" s="5">
        <f>(V44-V45)/V45</f>
        <v>-1.9020129130269654</v>
      </c>
    </row>
    <row r="45" spans="1:23" x14ac:dyDescent="0.25">
      <c r="A45">
        <v>2020</v>
      </c>
      <c r="B45" s="21">
        <v>960</v>
      </c>
      <c r="C45" s="5">
        <f t="shared" ref="C45:C55" si="8">(B45-B46)/B46</f>
        <v>0.69911504424778759</v>
      </c>
      <c r="E45">
        <v>2020</v>
      </c>
      <c r="F45" s="21">
        <v>28559</v>
      </c>
      <c r="G45" s="5">
        <f t="shared" ref="G45:G55" si="9">(F45-F46)/F46</f>
        <v>4.8729435957696826E-2</v>
      </c>
      <c r="I45">
        <v>2020</v>
      </c>
      <c r="J45" s="21">
        <v>9762</v>
      </c>
      <c r="K45" s="5">
        <f t="shared" ref="K45:K55" si="10">(J45-J46)/J46</f>
        <v>0.57986729244214275</v>
      </c>
      <c r="M45">
        <v>2020</v>
      </c>
      <c r="N45" s="21">
        <v>7806</v>
      </c>
      <c r="O45" s="5">
        <f t="shared" ref="O45:O55" si="11">(N45-N46)/N46</f>
        <v>0.13856476079346558</v>
      </c>
      <c r="Q45">
        <v>2020</v>
      </c>
      <c r="R45" s="21">
        <f>Table1691014[[#This Row],[CURRENT ASSETS]]-Table169101115[[#This Row],[CURRENT LIABILITES]]</f>
        <v>1956</v>
      </c>
      <c r="S45" s="5">
        <f t="shared" ref="S45:S55" si="12">(R45-R46)/R46</f>
        <v>-3.8892171344165436</v>
      </c>
      <c r="U45">
        <v>2020</v>
      </c>
      <c r="V45" s="21">
        <f>Table1691011[[#This Row],[NWC]]-R46</f>
        <v>2633</v>
      </c>
      <c r="W45" s="5">
        <f t="shared" ref="W45:W55" si="13">(V45-V46)/V46</f>
        <v>-1.6779093717816684</v>
      </c>
    </row>
    <row r="46" spans="1:23" x14ac:dyDescent="0.25">
      <c r="A46">
        <v>2019</v>
      </c>
      <c r="B46" s="21">
        <v>565</v>
      </c>
      <c r="C46" s="5">
        <f t="shared" si="8"/>
        <v>0.35167464114832536</v>
      </c>
      <c r="E46">
        <v>2019</v>
      </c>
      <c r="F46" s="21">
        <v>27232</v>
      </c>
      <c r="G46" s="5">
        <f t="shared" si="9"/>
        <v>0.71680746438027987</v>
      </c>
      <c r="I46">
        <v>2019</v>
      </c>
      <c r="J46" s="21">
        <v>6179</v>
      </c>
      <c r="K46" s="5">
        <f t="shared" si="10"/>
        <v>-0.36259541984732824</v>
      </c>
      <c r="M46">
        <v>2019</v>
      </c>
      <c r="N46" s="21">
        <v>6856</v>
      </c>
      <c r="O46" s="5">
        <f t="shared" si="11"/>
        <v>5.688299676275628E-2</v>
      </c>
      <c r="Q46">
        <v>2019</v>
      </c>
      <c r="R46" s="21">
        <f>Table1691014[[#This Row],[CURRENT ASSETS]]-Table169101115[[#This Row],[CURRENT LIABILITES]]</f>
        <v>-677</v>
      </c>
      <c r="S46" s="5">
        <f t="shared" si="12"/>
        <v>-1.2111007171811663</v>
      </c>
      <c r="U46">
        <v>2019</v>
      </c>
      <c r="V46" s="21">
        <f>Table1691011[[#This Row],[NWC]]-R47</f>
        <v>-3884</v>
      </c>
      <c r="W46" s="5">
        <f t="shared" si="13"/>
        <v>-4.8723828514456633</v>
      </c>
    </row>
    <row r="47" spans="1:23" x14ac:dyDescent="0.25">
      <c r="A47">
        <v>2018</v>
      </c>
      <c r="B47" s="21">
        <v>418</v>
      </c>
      <c r="C47" s="5">
        <f t="shared" si="8"/>
        <v>0.31034482758620691</v>
      </c>
      <c r="E47">
        <v>2018</v>
      </c>
      <c r="F47" s="21">
        <v>15862</v>
      </c>
      <c r="G47" s="5">
        <f t="shared" si="9"/>
        <v>0.43899120021772658</v>
      </c>
      <c r="I47">
        <v>2018</v>
      </c>
      <c r="J47" s="21">
        <v>9694</v>
      </c>
      <c r="K47" s="5">
        <f t="shared" si="10"/>
        <v>0.26388526727509776</v>
      </c>
      <c r="M47">
        <v>2018</v>
      </c>
      <c r="N47" s="21">
        <v>6487</v>
      </c>
      <c r="O47" s="5">
        <f t="shared" si="11"/>
        <v>0.18679107208196122</v>
      </c>
      <c r="Q47">
        <v>2018</v>
      </c>
      <c r="R47" s="21">
        <f>Table1691014[[#This Row],[CURRENT ASSETS]]-Table169101115[[#This Row],[CURRENT LIABILITES]]</f>
        <v>3207</v>
      </c>
      <c r="S47" s="5">
        <f t="shared" si="12"/>
        <v>0.45508166969147007</v>
      </c>
      <c r="U47">
        <v>2018</v>
      </c>
      <c r="V47" s="21">
        <f>Table1691011[[#This Row],[NWC]]-R48</f>
        <v>1003</v>
      </c>
      <c r="W47" s="5">
        <f t="shared" si="13"/>
        <v>-6.3492063492063489E-2</v>
      </c>
    </row>
    <row r="48" spans="1:23" x14ac:dyDescent="0.25">
      <c r="A48">
        <v>2017</v>
      </c>
      <c r="B48" s="21">
        <v>319</v>
      </c>
      <c r="C48" s="5">
        <f t="shared" si="8"/>
        <v>0.27600000000000002</v>
      </c>
      <c r="E48">
        <v>2017</v>
      </c>
      <c r="F48" s="21">
        <v>11023</v>
      </c>
      <c r="G48" s="5">
        <f t="shared" si="9"/>
        <v>0.44734768907563027</v>
      </c>
      <c r="I48">
        <v>2017</v>
      </c>
      <c r="J48" s="21">
        <v>7670</v>
      </c>
      <c r="K48" s="5">
        <f t="shared" si="10"/>
        <v>0.34090909090909088</v>
      </c>
      <c r="M48">
        <v>2017</v>
      </c>
      <c r="N48" s="21">
        <v>5466</v>
      </c>
      <c r="O48" s="5">
        <f t="shared" si="11"/>
        <v>0.19162851536952255</v>
      </c>
      <c r="Q48">
        <v>2017</v>
      </c>
      <c r="R48" s="21">
        <f>Table1691014[[#This Row],[CURRENT ASSETS]]-Table169101115[[#This Row],[CURRENT LIABILITES]]</f>
        <v>2204</v>
      </c>
      <c r="S48" s="5">
        <f t="shared" si="12"/>
        <v>0.94527802294792584</v>
      </c>
      <c r="U48">
        <v>2017</v>
      </c>
      <c r="V48" s="21">
        <f>Table1691011[[#This Row],[NWC]]-R49</f>
        <v>1071</v>
      </c>
      <c r="W48" s="5">
        <f t="shared" si="13"/>
        <v>-2.3927178153446036</v>
      </c>
    </row>
    <row r="49" spans="1:23" x14ac:dyDescent="0.25">
      <c r="A49">
        <v>2016</v>
      </c>
      <c r="B49" s="21">
        <v>250</v>
      </c>
      <c r="C49" s="5">
        <f t="shared" si="8"/>
        <v>0.44508670520231214</v>
      </c>
      <c r="E49">
        <v>2016</v>
      </c>
      <c r="F49" s="21">
        <v>7616</v>
      </c>
      <c r="G49" s="5">
        <f t="shared" si="9"/>
        <v>0.65637233579817311</v>
      </c>
      <c r="I49">
        <v>2016</v>
      </c>
      <c r="J49" s="21">
        <v>5720</v>
      </c>
      <c r="K49" s="5">
        <f t="shared" si="10"/>
        <v>5.3019145802650956E-2</v>
      </c>
      <c r="M49">
        <v>2016</v>
      </c>
      <c r="N49" s="21">
        <v>4587</v>
      </c>
      <c r="O49" s="5">
        <f t="shared" si="11"/>
        <v>0.29943342776203968</v>
      </c>
      <c r="Q49">
        <v>2016</v>
      </c>
      <c r="R49" s="21">
        <f>Table1691014[[#This Row],[CURRENT ASSETS]]-Table169101115[[#This Row],[CURRENT LIABILITES]]</f>
        <v>1133</v>
      </c>
      <c r="S49" s="5">
        <f t="shared" si="12"/>
        <v>-0.40431125131440587</v>
      </c>
      <c r="U49">
        <v>2016</v>
      </c>
      <c r="V49" s="21">
        <f>Table1691011[[#This Row],[NWC]]-R50</f>
        <v>-769</v>
      </c>
      <c r="W49" s="5">
        <f t="shared" si="13"/>
        <v>-2.2053291536050157</v>
      </c>
    </row>
    <row r="50" spans="1:23" x14ac:dyDescent="0.25">
      <c r="A50">
        <v>2015</v>
      </c>
      <c r="B50" s="21">
        <v>173</v>
      </c>
      <c r="C50" s="5">
        <f t="shared" si="8"/>
        <v>0.15333333333333332</v>
      </c>
      <c r="E50">
        <v>2015</v>
      </c>
      <c r="F50" s="21">
        <v>4598</v>
      </c>
      <c r="G50" s="5">
        <f t="shared" si="9"/>
        <v>0.55023600809170603</v>
      </c>
      <c r="I50">
        <v>2015</v>
      </c>
      <c r="J50" s="21">
        <v>5432</v>
      </c>
      <c r="K50" s="5">
        <f t="shared" si="10"/>
        <v>0.38324420677361853</v>
      </c>
      <c r="M50">
        <v>2015</v>
      </c>
      <c r="N50" s="21">
        <v>3530</v>
      </c>
      <c r="O50" s="5">
        <f t="shared" si="11"/>
        <v>0.32557266241081489</v>
      </c>
      <c r="Q50">
        <v>2015</v>
      </c>
      <c r="R50" s="21">
        <f>Table1691014[[#This Row],[CURRENT ASSETS]]-Table169101115[[#This Row],[CURRENT LIABILITES]]</f>
        <v>1902</v>
      </c>
      <c r="S50" s="5">
        <f t="shared" si="12"/>
        <v>0.504746835443038</v>
      </c>
      <c r="U50">
        <v>2015</v>
      </c>
      <c r="V50" s="21">
        <f>Table1691011[[#This Row],[NWC]]-R51</f>
        <v>638</v>
      </c>
      <c r="W50" s="5">
        <f t="shared" si="13"/>
        <v>0.77715877437325909</v>
      </c>
    </row>
    <row r="51" spans="1:23" x14ac:dyDescent="0.25">
      <c r="A51">
        <v>2014</v>
      </c>
      <c r="B51" s="21">
        <v>150</v>
      </c>
      <c r="C51" s="5">
        <f t="shared" si="8"/>
        <v>0.11940298507462686</v>
      </c>
      <c r="E51">
        <v>2014</v>
      </c>
      <c r="F51" s="21">
        <v>2966</v>
      </c>
      <c r="G51" s="5">
        <f t="shared" si="9"/>
        <v>0.33603603603603605</v>
      </c>
      <c r="I51">
        <v>2014</v>
      </c>
      <c r="J51" s="21">
        <v>3927</v>
      </c>
      <c r="K51" s="5">
        <f t="shared" si="10"/>
        <v>0.28375286041189929</v>
      </c>
      <c r="M51">
        <v>2014</v>
      </c>
      <c r="N51" s="21">
        <v>2663</v>
      </c>
      <c r="O51" s="5">
        <f t="shared" si="11"/>
        <v>0.23630454967502321</v>
      </c>
      <c r="Q51">
        <v>2014</v>
      </c>
      <c r="R51" s="21">
        <f>Table1691014[[#This Row],[CURRENT ASSETS]]-Table169101115[[#This Row],[CURRENT LIABILITES]]</f>
        <v>1264</v>
      </c>
      <c r="S51" s="5">
        <f t="shared" si="12"/>
        <v>0.3966850828729282</v>
      </c>
      <c r="U51">
        <v>2014</v>
      </c>
      <c r="V51" s="21">
        <f>Table1691011[[#This Row],[NWC]]-R52</f>
        <v>359</v>
      </c>
      <c r="W51" s="5">
        <f t="shared" si="13"/>
        <v>5.5882352941176473E-2</v>
      </c>
    </row>
    <row r="52" spans="1:23" x14ac:dyDescent="0.25">
      <c r="A52">
        <v>2013</v>
      </c>
      <c r="B52" s="21">
        <v>134</v>
      </c>
      <c r="C52" s="5">
        <f t="shared" si="8"/>
        <v>1.5151515151515152E-2</v>
      </c>
      <c r="E52">
        <v>2013</v>
      </c>
      <c r="F52" s="21">
        <v>2220</v>
      </c>
      <c r="G52" s="5">
        <f t="shared" si="9"/>
        <v>0.39184952978056425</v>
      </c>
      <c r="I52">
        <v>2013</v>
      </c>
      <c r="J52" s="21">
        <v>3059</v>
      </c>
      <c r="K52" s="5">
        <f t="shared" si="10"/>
        <v>0.36501561802766624</v>
      </c>
      <c r="M52">
        <v>2013</v>
      </c>
      <c r="N52" s="21">
        <v>2154</v>
      </c>
      <c r="O52" s="5">
        <f t="shared" si="11"/>
        <v>0.28520286396181382</v>
      </c>
      <c r="Q52">
        <v>2013</v>
      </c>
      <c r="R52" s="21">
        <f>Table1691014[[#This Row],[CURRENT ASSETS]]-Table169101115[[#This Row],[CURRENT LIABILITES]]</f>
        <v>905</v>
      </c>
      <c r="S52" s="5">
        <f t="shared" si="12"/>
        <v>0.60176991150442483</v>
      </c>
      <c r="U52">
        <v>2013</v>
      </c>
      <c r="V52" s="21">
        <f>Table1691011[[#This Row],[NWC]]-R53</f>
        <v>340</v>
      </c>
      <c r="W52" s="5">
        <f t="shared" si="13"/>
        <v>-9.2926829268292686</v>
      </c>
    </row>
    <row r="53" spans="1:23" x14ac:dyDescent="0.25">
      <c r="A53">
        <v>2012</v>
      </c>
      <c r="B53" s="21">
        <v>132</v>
      </c>
      <c r="C53" s="5">
        <f t="shared" si="8"/>
        <v>-2.9411764705882353E-2</v>
      </c>
      <c r="E53">
        <v>2012</v>
      </c>
      <c r="F53" s="21">
        <v>1595</v>
      </c>
      <c r="G53" s="5">
        <f t="shared" si="9"/>
        <v>0.44736842105263158</v>
      </c>
      <c r="I53">
        <v>2012</v>
      </c>
      <c r="J53" s="21">
        <v>2241</v>
      </c>
      <c r="K53" s="5">
        <f t="shared" si="10"/>
        <v>0.2239213544511196</v>
      </c>
      <c r="M53">
        <v>2012</v>
      </c>
      <c r="N53" s="21">
        <v>1676</v>
      </c>
      <c r="O53" s="5">
        <f t="shared" si="11"/>
        <v>0.36816326530612242</v>
      </c>
      <c r="Q53">
        <v>2012</v>
      </c>
      <c r="R53" s="21">
        <f>Table1691014[[#This Row],[CURRENT ASSETS]]-Table169101115[[#This Row],[CURRENT LIABILITES]]</f>
        <v>565</v>
      </c>
      <c r="S53" s="5">
        <f t="shared" si="12"/>
        <v>-6.7656765676567657E-2</v>
      </c>
      <c r="U53">
        <v>2012</v>
      </c>
      <c r="V53" s="21">
        <f>Table1691011[[#This Row],[NWC]]-R54</f>
        <v>-41</v>
      </c>
      <c r="W53" s="5">
        <f t="shared" si="13"/>
        <v>-1.1145251396648044</v>
      </c>
    </row>
    <row r="54" spans="1:23" x14ac:dyDescent="0.25">
      <c r="A54">
        <v>2011</v>
      </c>
      <c r="B54" s="21">
        <v>136</v>
      </c>
      <c r="C54" s="5">
        <f t="shared" si="8"/>
        <v>5.4263565891472867E-2</v>
      </c>
      <c r="E54">
        <v>2011</v>
      </c>
      <c r="F54" s="21">
        <v>1102</v>
      </c>
      <c r="G54" s="5">
        <f t="shared" si="9"/>
        <v>4.1018518518518521</v>
      </c>
      <c r="I54">
        <v>2011</v>
      </c>
      <c r="J54" s="21">
        <v>1831</v>
      </c>
      <c r="K54" s="5">
        <f t="shared" si="10"/>
        <v>1.8744113029827316</v>
      </c>
      <c r="M54">
        <v>2011</v>
      </c>
      <c r="N54" s="21">
        <v>1225</v>
      </c>
      <c r="O54" s="5">
        <f t="shared" si="11"/>
        <v>2.1491002570694087</v>
      </c>
      <c r="Q54">
        <v>2011</v>
      </c>
      <c r="R54" s="21">
        <f>Table1691014[[#This Row],[CURRENT ASSETS]]-Table169101115[[#This Row],[CURRENT LIABILITES]]</f>
        <v>606</v>
      </c>
      <c r="S54" s="5">
        <f t="shared" si="12"/>
        <v>1.4435483870967742</v>
      </c>
      <c r="U54">
        <v>2011</v>
      </c>
      <c r="V54" s="21">
        <f>Table1691011[[#This Row],[NWC]]-R55</f>
        <v>358</v>
      </c>
      <c r="W54" s="5">
        <f t="shared" si="13"/>
        <v>4.59375</v>
      </c>
    </row>
    <row r="55" spans="1:23" x14ac:dyDescent="0.25">
      <c r="A55">
        <v>2010</v>
      </c>
      <c r="B55" s="21">
        <v>129</v>
      </c>
      <c r="C55" s="5">
        <f t="shared" si="8"/>
        <v>-2.2727272727272728E-2</v>
      </c>
      <c r="E55">
        <v>2010</v>
      </c>
      <c r="F55" s="21">
        <v>216</v>
      </c>
      <c r="G55" s="5">
        <f t="shared" si="9"/>
        <v>0.78512396694214881</v>
      </c>
      <c r="I55">
        <v>2010</v>
      </c>
      <c r="J55" s="21">
        <v>637</v>
      </c>
      <c r="K55" s="5">
        <f t="shared" si="10"/>
        <v>0.54987834549878345</v>
      </c>
      <c r="M55">
        <v>2010</v>
      </c>
      <c r="N55" s="21">
        <v>389</v>
      </c>
      <c r="O55" s="5">
        <f t="shared" si="11"/>
        <v>0.71365638766519823</v>
      </c>
      <c r="Q55">
        <v>2010</v>
      </c>
      <c r="R55" s="21">
        <f>Table1691014[[#This Row],[CURRENT ASSETS]]-Table169101115[[#This Row],[CURRENT LIABILITES]]</f>
        <v>248</v>
      </c>
      <c r="S55" s="5">
        <f t="shared" si="12"/>
        <v>0.34782608695652173</v>
      </c>
      <c r="U55">
        <v>2010</v>
      </c>
      <c r="V55" s="21">
        <f>Table1691011[[#This Row],[NWC]]-R56</f>
        <v>64</v>
      </c>
      <c r="W55" s="5">
        <f t="shared" si="13"/>
        <v>-0.65217391304347827</v>
      </c>
    </row>
    <row r="56" spans="1:23" x14ac:dyDescent="0.25">
      <c r="A56">
        <v>2009</v>
      </c>
      <c r="B56" s="21">
        <v>132</v>
      </c>
      <c r="C56" s="5"/>
      <c r="E56">
        <v>2009</v>
      </c>
      <c r="F56" s="21">
        <v>121</v>
      </c>
      <c r="G56" s="5"/>
      <c r="I56">
        <v>2009</v>
      </c>
      <c r="J56" s="21">
        <v>411</v>
      </c>
      <c r="K56" s="5"/>
      <c r="M56">
        <v>2009</v>
      </c>
      <c r="N56" s="21">
        <v>227</v>
      </c>
      <c r="O56" s="5"/>
      <c r="Q56">
        <v>2009</v>
      </c>
      <c r="R56" s="21">
        <f>Table1691014[[#This Row],[CURRENT ASSETS]]-Table169101115[[#This Row],[CURRENT LIABILITES]]</f>
        <v>184</v>
      </c>
      <c r="S56" s="5"/>
      <c r="U56">
        <v>2009</v>
      </c>
      <c r="V56" s="21">
        <f>Table1691011[[#This Row],[NWC]]-R57</f>
        <v>184</v>
      </c>
      <c r="W56" s="5"/>
    </row>
    <row r="57" spans="1:23" x14ac:dyDescent="0.25">
      <c r="A57" t="s">
        <v>49</v>
      </c>
      <c r="B57" s="22"/>
      <c r="C57" s="7">
        <f>SUBTOTAL(101,Table169[YoY])</f>
        <v>0.22919654835020209</v>
      </c>
      <c r="E57" t="s">
        <v>49</v>
      </c>
      <c r="F57" s="22"/>
      <c r="G57" s="7">
        <f>SUBTOTAL(101,Table16910[YoY])</f>
        <v>0.76274457961053888</v>
      </c>
      <c r="I57" t="s">
        <v>49</v>
      </c>
      <c r="J57" s="22"/>
      <c r="K57" s="7">
        <f>SUBTOTAL(101,Table1691014[YoY])</f>
        <v>0.36516532720301154</v>
      </c>
      <c r="M57" t="s">
        <v>49</v>
      </c>
      <c r="N57" s="22"/>
      <c r="O57" s="7">
        <f>SUBTOTAL(101,Table169101115[YoY])</f>
        <v>0.41989979634945912</v>
      </c>
      <c r="Q57" t="s">
        <v>49</v>
      </c>
      <c r="R57" s="22"/>
      <c r="S57" s="7">
        <f>SUBTOTAL(101,Table1691011[YoY])</f>
        <v>-0.17429687925101711</v>
      </c>
      <c r="U57" t="s">
        <v>49</v>
      </c>
      <c r="V57" s="22"/>
      <c r="W57" s="7">
        <f>SUBTOTAL(101,Table169101116[YoY])</f>
        <v>-1.5622029184099242</v>
      </c>
    </row>
    <row r="60" spans="1:23" ht="18.75" x14ac:dyDescent="0.3">
      <c r="E60" s="428" t="s">
        <v>262</v>
      </c>
      <c r="F60" s="428"/>
      <c r="G60" s="428"/>
    </row>
    <row r="61" spans="1:23" x14ac:dyDescent="0.25">
      <c r="E61" s="20" t="s">
        <v>74</v>
      </c>
      <c r="F61" s="20" t="s">
        <v>262</v>
      </c>
      <c r="G61" s="20" t="s">
        <v>84</v>
      </c>
    </row>
    <row r="62" spans="1:23" x14ac:dyDescent="0.25">
      <c r="E62">
        <v>2021</v>
      </c>
      <c r="F62" s="162">
        <f>30919539/1000</f>
        <v>30919.539000000001</v>
      </c>
      <c r="G62" s="5">
        <f>(F62-F63)/F63</f>
        <v>0.21807437376767602</v>
      </c>
      <c r="J62" s="162"/>
      <c r="K62" s="162"/>
      <c r="L62" s="162"/>
      <c r="M62" s="162"/>
      <c r="N62" s="162"/>
      <c r="O62" s="162"/>
    </row>
    <row r="63" spans="1:23" x14ac:dyDescent="0.25">
      <c r="E63">
        <v>2020</v>
      </c>
      <c r="F63" s="162">
        <f>25383950/1000</f>
        <v>25383.95</v>
      </c>
      <c r="G63" s="5">
        <f t="shared" ref="G63:G66" si="14">(F63-F64)/F64</f>
        <v>3.5886494138011156E-2</v>
      </c>
    </row>
    <row r="64" spans="1:23" x14ac:dyDescent="0.25">
      <c r="E64">
        <v>2019</v>
      </c>
      <c r="F64" s="162">
        <f>24504567/1000</f>
        <v>24504.566999999999</v>
      </c>
      <c r="G64" s="5">
        <f t="shared" si="14"/>
        <v>0.21899156251910526</v>
      </c>
    </row>
    <row r="65" spans="5:7" x14ac:dyDescent="0.25">
      <c r="E65">
        <v>2018</v>
      </c>
      <c r="F65" s="162">
        <f>20102327/1000</f>
        <v>20102.327000000001</v>
      </c>
      <c r="G65" s="5">
        <f t="shared" si="14"/>
        <v>0.37042433515526413</v>
      </c>
    </row>
    <row r="66" spans="5:7" x14ac:dyDescent="0.25">
      <c r="E66">
        <v>2017</v>
      </c>
      <c r="F66" s="162">
        <f>14668688/1000</f>
        <v>14668.688</v>
      </c>
      <c r="G66" s="5">
        <f t="shared" si="14"/>
        <v>0.33650685674763536</v>
      </c>
    </row>
    <row r="67" spans="5:7" x14ac:dyDescent="0.25">
      <c r="E67">
        <v>2016</v>
      </c>
      <c r="F67" s="162">
        <f>10975393/1000</f>
        <v>10975.393</v>
      </c>
      <c r="G67" s="5"/>
    </row>
    <row r="68" spans="5:7" x14ac:dyDescent="0.25">
      <c r="E68" t="s">
        <v>49</v>
      </c>
      <c r="F68" s="22"/>
      <c r="G68" s="7">
        <f>SUBTOTAL(101,Table1691017[YoY])</f>
        <v>0.23597672446553836</v>
      </c>
    </row>
  </sheetData>
  <sortState xmlns:xlrd2="http://schemas.microsoft.com/office/spreadsheetml/2017/richdata2" columnSort="1" ref="J62:O62">
    <sortCondition descending="1" ref="J62:O62"/>
  </sortState>
  <mergeCells count="16">
    <mergeCell ref="E60:G60"/>
    <mergeCell ref="Q21:S21"/>
    <mergeCell ref="U21:W21"/>
    <mergeCell ref="M42:O42"/>
    <mergeCell ref="I42:K42"/>
    <mergeCell ref="U42:W42"/>
    <mergeCell ref="A1:C1"/>
    <mergeCell ref="E1:G1"/>
    <mergeCell ref="I1:K1"/>
    <mergeCell ref="A21:C21"/>
    <mergeCell ref="M21:O21"/>
    <mergeCell ref="A42:C42"/>
    <mergeCell ref="E42:G42"/>
    <mergeCell ref="Q42:S42"/>
    <mergeCell ref="I21:K21"/>
    <mergeCell ref="E21:G21"/>
  </mergeCells>
  <phoneticPr fontId="45" type="noConversion"/>
  <pageMargins left="0.7" right="0.7" top="0.75" bottom="0.75" header="0.3" footer="0.3"/>
  <drawing r:id="rId1"/>
  <tableParts count="16">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4C41-DAAA-4AD2-AAFA-BAECF1E430A9}">
  <sheetPr codeName="Sheet5"/>
  <dimension ref="A1"/>
  <sheetViews>
    <sheetView workbookViewId="0">
      <selection activeCell="E11" sqref="E11"/>
    </sheetView>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8E26-E732-4ADA-B3BE-0BFA5A8FC9EA}">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D10A0-3189-424C-9161-67FBCFC05D37}">
  <sheetPr codeName="Sheet6"/>
  <dimension ref="A1:O40"/>
  <sheetViews>
    <sheetView workbookViewId="0">
      <selection activeCell="N46" sqref="N46"/>
    </sheetView>
  </sheetViews>
  <sheetFormatPr defaultRowHeight="15" x14ac:dyDescent="0.25"/>
  <cols>
    <col min="1" max="1" width="8.28515625" bestFit="1" customWidth="1"/>
    <col min="2" max="13" width="5.5703125" bestFit="1" customWidth="1"/>
    <col min="14" max="14" width="11.140625" bestFit="1" customWidth="1"/>
    <col min="15" max="15" width="6.85546875" bestFit="1" customWidth="1"/>
  </cols>
  <sheetData>
    <row r="1" spans="1:15" ht="15.75" x14ac:dyDescent="0.25">
      <c r="A1" s="429" t="s">
        <v>92</v>
      </c>
      <c r="B1" s="430"/>
      <c r="C1" s="430"/>
      <c r="D1" s="430"/>
      <c r="E1" s="430"/>
      <c r="F1" s="430"/>
      <c r="G1" s="30"/>
      <c r="H1" s="30"/>
      <c r="I1" s="30"/>
      <c r="J1" s="30"/>
      <c r="K1" s="30"/>
      <c r="L1" s="30"/>
      <c r="M1" s="30"/>
      <c r="N1" s="30"/>
      <c r="O1" s="30"/>
    </row>
    <row r="2" spans="1:15" ht="15.75" x14ac:dyDescent="0.25">
      <c r="A2" s="429" t="s">
        <v>93</v>
      </c>
      <c r="B2" s="430"/>
      <c r="C2" s="430"/>
      <c r="D2" s="430"/>
      <c r="E2" s="430"/>
      <c r="F2" s="430"/>
      <c r="G2" s="30"/>
      <c r="H2" s="30"/>
      <c r="I2" s="30"/>
      <c r="J2" s="30"/>
      <c r="K2" s="30"/>
      <c r="L2" s="30"/>
      <c r="M2" s="30"/>
      <c r="N2" s="30"/>
      <c r="O2" s="30"/>
    </row>
    <row r="3" spans="1:15" x14ac:dyDescent="0.25">
      <c r="A3" s="430"/>
      <c r="B3" s="430"/>
      <c r="C3" s="430"/>
      <c r="D3" s="430"/>
      <c r="E3" s="430"/>
      <c r="F3" s="430"/>
      <c r="G3" s="30"/>
      <c r="H3" s="30"/>
      <c r="I3" s="30"/>
      <c r="J3" s="30"/>
      <c r="K3" s="30"/>
      <c r="L3" s="30"/>
      <c r="M3" s="30"/>
      <c r="N3" s="30"/>
      <c r="O3" s="30"/>
    </row>
    <row r="4" spans="1:15" ht="25.5" x14ac:dyDescent="0.25">
      <c r="A4" s="34" t="s">
        <v>94</v>
      </c>
      <c r="B4" s="431" t="s">
        <v>95</v>
      </c>
      <c r="C4" s="430"/>
      <c r="D4" s="430"/>
      <c r="E4" s="430"/>
      <c r="F4" s="430"/>
      <c r="G4" s="30"/>
      <c r="H4" s="30"/>
      <c r="I4" s="30"/>
      <c r="J4" s="30"/>
      <c r="K4" s="30"/>
      <c r="L4" s="30"/>
      <c r="M4" s="30"/>
      <c r="N4" s="30"/>
      <c r="O4" s="30"/>
    </row>
    <row r="5" spans="1:15" x14ac:dyDescent="0.25">
      <c r="A5" s="432" t="s">
        <v>96</v>
      </c>
      <c r="B5" s="430"/>
      <c r="C5" s="430"/>
      <c r="D5" s="430"/>
      <c r="E5" s="430"/>
      <c r="F5" s="430"/>
      <c r="G5" s="30"/>
      <c r="H5" s="30"/>
      <c r="I5" s="30"/>
      <c r="J5" s="30"/>
      <c r="K5" s="30"/>
      <c r="L5" s="30"/>
      <c r="M5" s="30"/>
      <c r="N5" s="30"/>
      <c r="O5" s="30"/>
    </row>
    <row r="6" spans="1:15" ht="25.5" x14ac:dyDescent="0.25">
      <c r="A6" s="34" t="s">
        <v>97</v>
      </c>
      <c r="B6" s="431" t="s">
        <v>98</v>
      </c>
      <c r="C6" s="430"/>
      <c r="D6" s="430"/>
      <c r="E6" s="430"/>
      <c r="F6" s="430"/>
      <c r="G6" s="30"/>
      <c r="H6" s="30"/>
      <c r="I6" s="30"/>
      <c r="J6" s="30"/>
      <c r="K6" s="30"/>
      <c r="L6" s="30"/>
      <c r="M6" s="30"/>
      <c r="N6" s="30"/>
      <c r="O6" s="30"/>
    </row>
    <row r="7" spans="1:15" x14ac:dyDescent="0.25">
      <c r="A7" s="34" t="s">
        <v>99</v>
      </c>
      <c r="B7" s="431" t="s">
        <v>100</v>
      </c>
      <c r="C7" s="430"/>
      <c r="D7" s="430"/>
      <c r="E7" s="430"/>
      <c r="F7" s="430"/>
      <c r="G7" s="30"/>
      <c r="H7" s="30"/>
      <c r="I7" s="30"/>
      <c r="J7" s="30"/>
      <c r="K7" s="30"/>
      <c r="L7" s="30"/>
      <c r="M7" s="30"/>
      <c r="N7" s="30"/>
      <c r="O7" s="30"/>
    </row>
    <row r="8" spans="1:15" x14ac:dyDescent="0.25">
      <c r="A8" s="34" t="s">
        <v>101</v>
      </c>
      <c r="B8" s="431" t="s">
        <v>102</v>
      </c>
      <c r="C8" s="430"/>
      <c r="D8" s="430"/>
      <c r="E8" s="430"/>
      <c r="F8" s="430"/>
      <c r="G8" s="30"/>
      <c r="H8" s="30"/>
      <c r="I8" s="30"/>
      <c r="J8" s="30"/>
      <c r="K8" s="30"/>
      <c r="L8" s="30"/>
      <c r="M8" s="30"/>
      <c r="N8" s="30"/>
      <c r="O8" s="30"/>
    </row>
    <row r="9" spans="1:15" ht="25.5" x14ac:dyDescent="0.25">
      <c r="A9" s="34" t="s">
        <v>103</v>
      </c>
      <c r="B9" s="431" t="s">
        <v>104</v>
      </c>
      <c r="C9" s="430"/>
      <c r="D9" s="430"/>
      <c r="E9" s="430"/>
      <c r="F9" s="430"/>
      <c r="G9" s="30"/>
      <c r="H9" s="30"/>
      <c r="I9" s="30"/>
      <c r="J9" s="30"/>
      <c r="K9" s="30"/>
      <c r="L9" s="30"/>
      <c r="M9" s="30"/>
      <c r="N9" s="30"/>
      <c r="O9" s="30"/>
    </row>
    <row r="10" spans="1:15" x14ac:dyDescent="0.25">
      <c r="A10" s="34" t="s">
        <v>105</v>
      </c>
      <c r="B10" s="433" t="s">
        <v>106</v>
      </c>
      <c r="C10" s="430"/>
      <c r="D10" s="430"/>
      <c r="E10" s="430"/>
      <c r="F10" s="430"/>
      <c r="G10" s="30"/>
      <c r="H10" s="30"/>
      <c r="I10" s="30"/>
      <c r="J10" s="30"/>
      <c r="K10" s="30"/>
      <c r="L10" s="30"/>
      <c r="M10" s="30"/>
      <c r="N10" s="30"/>
      <c r="O10" s="30"/>
    </row>
    <row r="12" spans="1:15" ht="15.75" thickBot="1" x14ac:dyDescent="0.3">
      <c r="A12" s="31" t="s">
        <v>74</v>
      </c>
      <c r="B12" s="31" t="s">
        <v>19</v>
      </c>
      <c r="C12" s="31" t="s">
        <v>20</v>
      </c>
      <c r="D12" s="31" t="s">
        <v>9</v>
      </c>
      <c r="E12" s="31" t="s">
        <v>10</v>
      </c>
      <c r="F12" s="31" t="s">
        <v>11</v>
      </c>
      <c r="G12" s="31" t="s">
        <v>12</v>
      </c>
      <c r="H12" s="31" t="s">
        <v>13</v>
      </c>
      <c r="I12" s="31" t="s">
        <v>14</v>
      </c>
      <c r="J12" s="31" t="s">
        <v>15</v>
      </c>
      <c r="K12" s="31" t="s">
        <v>16</v>
      </c>
      <c r="L12" s="31" t="s">
        <v>17</v>
      </c>
      <c r="M12" s="31" t="s">
        <v>18</v>
      </c>
      <c r="N12" s="31" t="s">
        <v>107</v>
      </c>
      <c r="O12" s="31" t="s">
        <v>108</v>
      </c>
    </row>
    <row r="13" spans="1:15" ht="15.75" thickTop="1" x14ac:dyDescent="0.25">
      <c r="A13" s="32">
        <v>2012</v>
      </c>
      <c r="B13" s="33">
        <v>0.3</v>
      </c>
      <c r="C13" s="33">
        <v>0.2</v>
      </c>
      <c r="D13" s="33">
        <v>0.2</v>
      </c>
      <c r="E13" s="33">
        <v>0.2</v>
      </c>
      <c r="F13" s="33">
        <v>-0.2</v>
      </c>
      <c r="G13" s="33">
        <v>-0.1</v>
      </c>
      <c r="H13" s="33">
        <v>0</v>
      </c>
      <c r="I13" s="33">
        <v>0.6</v>
      </c>
      <c r="J13" s="33">
        <v>0.5</v>
      </c>
      <c r="K13" s="33">
        <v>0.3</v>
      </c>
      <c r="L13" s="33">
        <v>-0.2</v>
      </c>
      <c r="M13" s="33">
        <v>0</v>
      </c>
      <c r="N13" s="30"/>
      <c r="O13" s="30"/>
    </row>
    <row r="14" spans="1:15" x14ac:dyDescent="0.25">
      <c r="A14" s="32">
        <v>2013</v>
      </c>
      <c r="B14" s="33">
        <v>0.2</v>
      </c>
      <c r="C14" s="33">
        <v>0.5</v>
      </c>
      <c r="D14" s="33">
        <v>-0.3</v>
      </c>
      <c r="E14" s="33">
        <v>-0.2</v>
      </c>
      <c r="F14" s="33">
        <v>0</v>
      </c>
      <c r="G14" s="33">
        <v>0.2</v>
      </c>
      <c r="H14" s="33">
        <v>0.2</v>
      </c>
      <c r="I14" s="33">
        <v>0.2</v>
      </c>
      <c r="J14" s="33">
        <v>0</v>
      </c>
      <c r="K14" s="33">
        <v>0.1</v>
      </c>
      <c r="L14" s="33">
        <v>0.2</v>
      </c>
      <c r="M14" s="33">
        <v>0.3</v>
      </c>
      <c r="N14" s="30"/>
      <c r="O14" s="30"/>
    </row>
    <row r="15" spans="1:15" x14ac:dyDescent="0.25">
      <c r="A15" s="32">
        <v>2014</v>
      </c>
      <c r="B15" s="33">
        <v>0.2</v>
      </c>
      <c r="C15" s="33">
        <v>0.1</v>
      </c>
      <c r="D15" s="33">
        <v>0.2</v>
      </c>
      <c r="E15" s="33">
        <v>0.2</v>
      </c>
      <c r="F15" s="33">
        <v>0.2</v>
      </c>
      <c r="G15" s="33">
        <v>0.1</v>
      </c>
      <c r="H15" s="33">
        <v>0.1</v>
      </c>
      <c r="I15" s="33">
        <v>0</v>
      </c>
      <c r="J15" s="33">
        <v>0</v>
      </c>
      <c r="K15" s="33">
        <v>0</v>
      </c>
      <c r="L15" s="33">
        <v>-0.2</v>
      </c>
      <c r="M15" s="33">
        <v>-0.3</v>
      </c>
      <c r="N15" s="30"/>
      <c r="O15" s="30"/>
    </row>
    <row r="16" spans="1:15" x14ac:dyDescent="0.25">
      <c r="A16" s="32">
        <v>2015</v>
      </c>
      <c r="B16" s="33">
        <v>-0.6</v>
      </c>
      <c r="C16" s="33">
        <v>0.3</v>
      </c>
      <c r="D16" s="33">
        <v>0.3</v>
      </c>
      <c r="E16" s="33">
        <v>0.1</v>
      </c>
      <c r="F16" s="33">
        <v>0.3</v>
      </c>
      <c r="G16" s="33">
        <v>0.3</v>
      </c>
      <c r="H16" s="33">
        <v>0.2</v>
      </c>
      <c r="I16" s="33">
        <v>0</v>
      </c>
      <c r="J16" s="33">
        <v>-0.2</v>
      </c>
      <c r="K16" s="33">
        <v>0.1</v>
      </c>
      <c r="L16" s="33">
        <v>0.1</v>
      </c>
      <c r="M16" s="33">
        <v>-0.1</v>
      </c>
      <c r="N16" s="30"/>
      <c r="O16" s="30"/>
    </row>
    <row r="17" spans="1:15" x14ac:dyDescent="0.25">
      <c r="A17" s="32">
        <v>2016</v>
      </c>
      <c r="B17" s="33">
        <v>0</v>
      </c>
      <c r="C17" s="33">
        <v>-0.1</v>
      </c>
      <c r="D17" s="33">
        <v>0.3</v>
      </c>
      <c r="E17" s="33">
        <v>0.4</v>
      </c>
      <c r="F17" s="33">
        <v>0.2</v>
      </c>
      <c r="G17" s="33">
        <v>0.3</v>
      </c>
      <c r="H17" s="33">
        <v>-0.1</v>
      </c>
      <c r="I17" s="33">
        <v>0.2</v>
      </c>
      <c r="J17" s="33">
        <v>0.3</v>
      </c>
      <c r="K17" s="33">
        <v>0.2</v>
      </c>
      <c r="L17" s="33">
        <v>0.1</v>
      </c>
      <c r="M17" s="33">
        <v>0.3</v>
      </c>
    </row>
    <row r="18" spans="1:15" x14ac:dyDescent="0.25">
      <c r="A18" s="32">
        <v>2017</v>
      </c>
      <c r="B18" s="33">
        <v>0.4</v>
      </c>
      <c r="C18" s="33">
        <v>0.2</v>
      </c>
      <c r="D18" s="33">
        <v>0</v>
      </c>
      <c r="E18" s="33">
        <v>0.1</v>
      </c>
      <c r="F18" s="33">
        <v>-0.1</v>
      </c>
      <c r="G18" s="33">
        <v>0.1</v>
      </c>
      <c r="H18" s="33">
        <v>0</v>
      </c>
      <c r="I18" s="33">
        <v>0.4</v>
      </c>
      <c r="J18" s="33">
        <v>0.5</v>
      </c>
      <c r="K18" s="33">
        <v>0.1</v>
      </c>
      <c r="L18" s="33">
        <v>0.3</v>
      </c>
      <c r="M18" s="33">
        <v>0.2</v>
      </c>
    </row>
    <row r="19" spans="1:15" x14ac:dyDescent="0.25">
      <c r="A19" s="32">
        <v>2018</v>
      </c>
      <c r="B19" s="33">
        <v>0.4</v>
      </c>
      <c r="C19" s="33">
        <v>0.3</v>
      </c>
      <c r="D19" s="33">
        <v>0.1</v>
      </c>
      <c r="E19" s="33">
        <v>0.2</v>
      </c>
      <c r="F19" s="33">
        <v>0.3</v>
      </c>
      <c r="G19" s="33">
        <v>0.1</v>
      </c>
      <c r="H19" s="33">
        <v>0.1</v>
      </c>
      <c r="I19" s="33">
        <v>0.2</v>
      </c>
      <c r="J19" s="33">
        <v>0.2</v>
      </c>
      <c r="K19" s="33">
        <v>0.2</v>
      </c>
      <c r="L19" s="33">
        <v>-0.1</v>
      </c>
      <c r="M19" s="33">
        <v>0</v>
      </c>
    </row>
    <row r="20" spans="1:15" x14ac:dyDescent="0.25">
      <c r="A20" s="32">
        <v>2019</v>
      </c>
      <c r="B20" s="33">
        <v>0</v>
      </c>
      <c r="C20" s="33">
        <v>0.3</v>
      </c>
      <c r="D20" s="33">
        <v>0.4</v>
      </c>
      <c r="E20" s="33">
        <v>0.4</v>
      </c>
      <c r="F20" s="33">
        <v>0.1</v>
      </c>
      <c r="G20" s="33">
        <v>0</v>
      </c>
      <c r="H20" s="33">
        <v>0.2</v>
      </c>
      <c r="I20" s="33">
        <v>0.1</v>
      </c>
      <c r="J20" s="33">
        <v>0.2</v>
      </c>
      <c r="K20" s="33">
        <v>0.3</v>
      </c>
      <c r="L20" s="33">
        <v>0.2</v>
      </c>
      <c r="M20" s="33">
        <v>0.2</v>
      </c>
    </row>
    <row r="21" spans="1:15" x14ac:dyDescent="0.25">
      <c r="A21" s="32">
        <v>2020</v>
      </c>
      <c r="B21" s="33">
        <v>0.2</v>
      </c>
      <c r="C21" s="33">
        <v>0.1</v>
      </c>
      <c r="D21" s="33">
        <v>-0.3</v>
      </c>
      <c r="E21" s="33">
        <v>-0.8</v>
      </c>
      <c r="F21" s="33">
        <v>-0.1</v>
      </c>
      <c r="G21" s="33">
        <v>0.5</v>
      </c>
      <c r="H21" s="33">
        <v>0.5</v>
      </c>
      <c r="I21" s="33">
        <v>0.4</v>
      </c>
      <c r="J21" s="33">
        <v>0.2</v>
      </c>
      <c r="K21" s="33">
        <v>0.1</v>
      </c>
      <c r="L21" s="33">
        <v>0.1</v>
      </c>
      <c r="M21" s="33">
        <v>0.3</v>
      </c>
    </row>
    <row r="22" spans="1:15" x14ac:dyDescent="0.25">
      <c r="A22" s="32">
        <v>2021</v>
      </c>
      <c r="B22" s="33">
        <v>0.2</v>
      </c>
      <c r="C22" s="33">
        <v>0.4</v>
      </c>
      <c r="D22" s="33">
        <v>0.6</v>
      </c>
      <c r="E22" s="33">
        <v>0.6</v>
      </c>
      <c r="F22" s="33">
        <v>0.7</v>
      </c>
      <c r="G22" s="33">
        <v>0.9</v>
      </c>
      <c r="H22" s="33">
        <v>0.5</v>
      </c>
      <c r="I22" s="33">
        <v>0.3</v>
      </c>
      <c r="J22" s="33">
        <v>0.4</v>
      </c>
      <c r="K22" s="33">
        <v>0.9</v>
      </c>
      <c r="L22" s="33">
        <v>0.7</v>
      </c>
      <c r="M22" s="33">
        <v>0.6</v>
      </c>
    </row>
    <row r="23" spans="1:15" x14ac:dyDescent="0.25">
      <c r="A23" s="32">
        <v>2022</v>
      </c>
      <c r="B23" s="33">
        <v>0.6</v>
      </c>
      <c r="C23" s="33">
        <v>0.8</v>
      </c>
      <c r="D23" s="33">
        <v>1.2</v>
      </c>
      <c r="E23" s="30">
        <v>2</v>
      </c>
      <c r="F23" s="30"/>
      <c r="G23" s="30"/>
      <c r="H23" s="30"/>
      <c r="I23" s="30"/>
      <c r="J23" s="30"/>
      <c r="K23" s="30"/>
      <c r="L23" s="30"/>
      <c r="M23" s="30"/>
    </row>
    <row r="27" spans="1:15" ht="15.75" thickBot="1" x14ac:dyDescent="0.3">
      <c r="A27" s="31" t="s">
        <v>74</v>
      </c>
      <c r="B27" s="31" t="s">
        <v>19</v>
      </c>
      <c r="C27" s="31" t="s">
        <v>20</v>
      </c>
      <c r="D27" s="31" t="s">
        <v>9</v>
      </c>
      <c r="E27" s="31" t="s">
        <v>10</v>
      </c>
      <c r="F27" s="31" t="s">
        <v>11</v>
      </c>
      <c r="G27" s="31" t="s">
        <v>12</v>
      </c>
      <c r="H27" s="31" t="s">
        <v>13</v>
      </c>
      <c r="I27" s="31" t="s">
        <v>14</v>
      </c>
      <c r="J27" s="31" t="s">
        <v>15</v>
      </c>
      <c r="K27" s="31" t="s">
        <v>16</v>
      </c>
      <c r="L27" s="31" t="s">
        <v>17</v>
      </c>
      <c r="M27" s="31" t="s">
        <v>18</v>
      </c>
      <c r="N27" s="39" t="s">
        <v>110</v>
      </c>
      <c r="O27" s="40" t="s">
        <v>111</v>
      </c>
    </row>
    <row r="28" spans="1:15" ht="15.75" thickTop="1" x14ac:dyDescent="0.25">
      <c r="A28" s="32">
        <v>2012</v>
      </c>
      <c r="B28" s="38">
        <v>17.171429</v>
      </c>
      <c r="C28" s="38">
        <v>15.818571</v>
      </c>
      <c r="D28" s="38">
        <v>16.434286</v>
      </c>
      <c r="E28" s="38">
        <v>11.448570999999999</v>
      </c>
      <c r="F28" s="38">
        <v>9.0628569999999993</v>
      </c>
      <c r="G28" s="38">
        <v>9.7842859999999998</v>
      </c>
      <c r="H28" s="38">
        <v>8.1214289999999991</v>
      </c>
      <c r="I28" s="38">
        <v>8.5314289999999993</v>
      </c>
      <c r="J28" s="38">
        <v>7.7771429999999997</v>
      </c>
      <c r="K28" s="38">
        <v>11.32</v>
      </c>
      <c r="L28" s="38">
        <v>11.672857</v>
      </c>
      <c r="M28" s="38">
        <v>13.227143</v>
      </c>
      <c r="N28" s="41">
        <f>CORREL(B28:M28,B13:M13)</f>
        <v>1.2151794013185144E-2</v>
      </c>
      <c r="O28" s="37">
        <f>SLOPE(B28:M28, B13:M13)</f>
        <v>0.15626253424657588</v>
      </c>
    </row>
    <row r="29" spans="1:15" x14ac:dyDescent="0.25">
      <c r="A29" s="32">
        <v>2013</v>
      </c>
      <c r="B29" s="38">
        <v>23.605715</v>
      </c>
      <c r="C29" s="38">
        <v>26.868569999999998</v>
      </c>
      <c r="D29" s="38">
        <v>27.040001</v>
      </c>
      <c r="E29" s="38">
        <v>30.867144</v>
      </c>
      <c r="F29" s="38">
        <v>32.321429999999999</v>
      </c>
      <c r="G29" s="38">
        <v>30.155714</v>
      </c>
      <c r="H29" s="38">
        <v>34.925713000000002</v>
      </c>
      <c r="I29" s="38">
        <v>40.558571000000001</v>
      </c>
      <c r="J29" s="38">
        <v>44.172854999999998</v>
      </c>
      <c r="K29" s="38">
        <v>46.068568999999997</v>
      </c>
      <c r="L29" s="38">
        <v>52.257140999999997</v>
      </c>
      <c r="M29" s="38">
        <v>52.595714999999998</v>
      </c>
      <c r="N29" s="41">
        <f t="shared" ref="N29:N38" si="0">CORREL(B29:M29,B14:M14)</f>
        <v>0.18067446017786903</v>
      </c>
      <c r="O29" s="37">
        <f t="shared" ref="O29:O38" si="1">SLOPE(B14:M14,B29:M29)</f>
        <v>3.8914835744354001E-3</v>
      </c>
    </row>
    <row r="30" spans="1:15" x14ac:dyDescent="0.25">
      <c r="A30" s="32">
        <v>2014</v>
      </c>
      <c r="B30" s="38">
        <v>58.475715999999998</v>
      </c>
      <c r="C30" s="38">
        <v>63.661430000000003</v>
      </c>
      <c r="D30" s="38">
        <v>50.290000999999997</v>
      </c>
      <c r="E30" s="38">
        <v>46.005713999999998</v>
      </c>
      <c r="F30" s="38">
        <v>59.689999</v>
      </c>
      <c r="G30" s="38">
        <v>62.942855999999999</v>
      </c>
      <c r="H30" s="38">
        <v>60.388573000000001</v>
      </c>
      <c r="I30" s="38">
        <v>68.234283000000005</v>
      </c>
      <c r="J30" s="38">
        <v>64.454284999999999</v>
      </c>
      <c r="K30" s="38">
        <v>56.110000999999997</v>
      </c>
      <c r="L30" s="38">
        <v>49.512855999999999</v>
      </c>
      <c r="M30" s="38">
        <v>48.801430000000003</v>
      </c>
      <c r="N30" s="41">
        <f t="shared" si="0"/>
        <v>0.20369282875522635</v>
      </c>
      <c r="O30" s="37">
        <f t="shared" si="1"/>
        <v>4.5921136842150666E-3</v>
      </c>
    </row>
    <row r="31" spans="1:15" x14ac:dyDescent="0.25">
      <c r="A31" s="32">
        <v>2015</v>
      </c>
      <c r="B31" s="38">
        <v>63.114285000000002</v>
      </c>
      <c r="C31" s="38">
        <v>67.844284000000002</v>
      </c>
      <c r="D31" s="38">
        <v>59.527141999999998</v>
      </c>
      <c r="E31" s="38">
        <v>79.5</v>
      </c>
      <c r="F31" s="38">
        <v>89.151427999999996</v>
      </c>
      <c r="G31" s="38">
        <v>93.848572000000004</v>
      </c>
      <c r="H31" s="38">
        <v>114.30999799999999</v>
      </c>
      <c r="I31" s="38">
        <v>115.029999</v>
      </c>
      <c r="J31" s="38">
        <v>103.260002</v>
      </c>
      <c r="K31" s="38">
        <v>108.379997</v>
      </c>
      <c r="L31" s="38">
        <v>123.33000199999999</v>
      </c>
      <c r="M31" s="38">
        <v>114.379997</v>
      </c>
      <c r="N31" s="41">
        <f t="shared" si="0"/>
        <v>2.5747264657264478E-2</v>
      </c>
      <c r="O31" s="37">
        <f t="shared" si="1"/>
        <v>3.0843123828675878E-4</v>
      </c>
    </row>
    <row r="32" spans="1:15" x14ac:dyDescent="0.25">
      <c r="A32" s="32">
        <v>2016</v>
      </c>
      <c r="B32" s="38">
        <v>91.839995999999999</v>
      </c>
      <c r="C32" s="38">
        <v>93.410004000000001</v>
      </c>
      <c r="D32" s="38">
        <v>102.230003</v>
      </c>
      <c r="E32" s="38">
        <v>90.029999000000004</v>
      </c>
      <c r="F32" s="38">
        <v>102.57</v>
      </c>
      <c r="G32" s="38">
        <v>91.480002999999996</v>
      </c>
      <c r="H32" s="38">
        <v>91.25</v>
      </c>
      <c r="I32" s="38">
        <v>97.449996999999996</v>
      </c>
      <c r="J32" s="38">
        <v>98.550003000000004</v>
      </c>
      <c r="K32" s="38">
        <v>124.870003</v>
      </c>
      <c r="L32" s="38">
        <v>117</v>
      </c>
      <c r="M32" s="38">
        <v>123.800003</v>
      </c>
      <c r="N32" s="41">
        <f t="shared" si="0"/>
        <v>0.20374730730470664</v>
      </c>
      <c r="O32" s="37">
        <f t="shared" si="1"/>
        <v>2.6392748368841696E-3</v>
      </c>
    </row>
    <row r="33" spans="1:15" x14ac:dyDescent="0.25">
      <c r="A33" s="32">
        <v>2017</v>
      </c>
      <c r="B33" s="38">
        <v>140.71000699999999</v>
      </c>
      <c r="C33" s="38">
        <v>142.13000500000001</v>
      </c>
      <c r="D33" s="38">
        <v>147.80999800000001</v>
      </c>
      <c r="E33" s="38">
        <v>152.199997</v>
      </c>
      <c r="F33" s="38">
        <v>163.070007</v>
      </c>
      <c r="G33" s="38">
        <v>149.41000399999999</v>
      </c>
      <c r="H33" s="38">
        <v>181.66000399999999</v>
      </c>
      <c r="I33" s="38">
        <v>174.71000699999999</v>
      </c>
      <c r="J33" s="38">
        <v>181.35000600000001</v>
      </c>
      <c r="K33" s="38">
        <v>196.429993</v>
      </c>
      <c r="L33" s="38">
        <v>187.58000200000001</v>
      </c>
      <c r="M33" s="38">
        <v>191.96000699999999</v>
      </c>
      <c r="N33" s="41">
        <f t="shared" si="0"/>
        <v>0.12263312811528687</v>
      </c>
      <c r="O33" s="37">
        <f t="shared" si="1"/>
        <v>1.1081791558216179E-3</v>
      </c>
    </row>
    <row r="34" spans="1:15" x14ac:dyDescent="0.25">
      <c r="A34" s="32">
        <v>2018</v>
      </c>
      <c r="B34" s="38">
        <v>270.29998799999998</v>
      </c>
      <c r="C34" s="38">
        <v>291.38000499999998</v>
      </c>
      <c r="D34" s="38">
        <v>295.35000600000001</v>
      </c>
      <c r="E34" s="38">
        <v>312.459991</v>
      </c>
      <c r="F34" s="38">
        <v>351.60000600000001</v>
      </c>
      <c r="G34" s="38">
        <v>391.42999300000002</v>
      </c>
      <c r="H34" s="38">
        <v>337.45001200000002</v>
      </c>
      <c r="I34" s="38">
        <v>367.67999300000002</v>
      </c>
      <c r="J34" s="38">
        <v>374.13000499999998</v>
      </c>
      <c r="K34" s="38">
        <v>301.77999899999998</v>
      </c>
      <c r="L34" s="38">
        <v>286.13000499999998</v>
      </c>
      <c r="M34" s="38">
        <v>267.66000400000001</v>
      </c>
      <c r="N34" s="41">
        <f>CORREL(B34:M34,B19:M19)</f>
        <v>7.522185985613021E-2</v>
      </c>
      <c r="O34" s="37">
        <f t="shared" si="1"/>
        <v>2.431667527946194E-4</v>
      </c>
    </row>
    <row r="35" spans="1:15" x14ac:dyDescent="0.25">
      <c r="A35" s="32">
        <v>2019</v>
      </c>
      <c r="B35" s="38">
        <v>339.5</v>
      </c>
      <c r="C35" s="38">
        <v>358.10000600000001</v>
      </c>
      <c r="D35" s="38">
        <v>356.55999800000001</v>
      </c>
      <c r="E35" s="38">
        <v>370.540009</v>
      </c>
      <c r="F35" s="38">
        <v>343.27999899999998</v>
      </c>
      <c r="G35" s="38">
        <v>367.32000699999998</v>
      </c>
      <c r="H35" s="38">
        <v>322.98998999999998</v>
      </c>
      <c r="I35" s="38">
        <v>293.75</v>
      </c>
      <c r="J35" s="38">
        <v>267.61999500000002</v>
      </c>
      <c r="K35" s="38">
        <v>287.41000400000001</v>
      </c>
      <c r="L35" s="38">
        <v>314.66000400000001</v>
      </c>
      <c r="M35" s="38">
        <v>323.57000699999998</v>
      </c>
      <c r="N35" s="41">
        <f t="shared" si="0"/>
        <v>9.9585355670142775E-2</v>
      </c>
      <c r="O35" s="37">
        <f t="shared" si="1"/>
        <v>4.044551728974454E-4</v>
      </c>
    </row>
    <row r="36" spans="1:15" x14ac:dyDescent="0.25">
      <c r="A36" s="32">
        <v>2020</v>
      </c>
      <c r="B36" s="38">
        <v>345.08999599999999</v>
      </c>
      <c r="C36" s="38">
        <v>369.02999899999998</v>
      </c>
      <c r="D36" s="38">
        <v>375.5</v>
      </c>
      <c r="E36" s="38">
        <v>419.85000600000001</v>
      </c>
      <c r="F36" s="38">
        <v>419.73001099999999</v>
      </c>
      <c r="G36" s="38">
        <v>455.040009</v>
      </c>
      <c r="H36" s="38">
        <v>488.88000499999998</v>
      </c>
      <c r="I36" s="38">
        <v>529.55999799999995</v>
      </c>
      <c r="J36" s="38">
        <v>500.02999899999998</v>
      </c>
      <c r="K36" s="38">
        <v>475.73998999999998</v>
      </c>
      <c r="L36" s="38">
        <v>490.70001200000002</v>
      </c>
      <c r="M36" s="38">
        <v>540.72997999999995</v>
      </c>
      <c r="N36" s="41">
        <f t="shared" si="0"/>
        <v>0.44945997698308637</v>
      </c>
      <c r="O36" s="37">
        <f t="shared" si="1"/>
        <v>2.5535828350546222E-3</v>
      </c>
    </row>
    <row r="37" spans="1:15" x14ac:dyDescent="0.25">
      <c r="A37" s="32">
        <v>2021</v>
      </c>
      <c r="B37" s="38">
        <v>532.39001499999995</v>
      </c>
      <c r="C37" s="38">
        <v>538.84997599999997</v>
      </c>
      <c r="D37" s="38">
        <v>521.65997300000004</v>
      </c>
      <c r="E37" s="38">
        <v>513.46997099999999</v>
      </c>
      <c r="F37" s="38">
        <v>502.80999800000001</v>
      </c>
      <c r="G37" s="38">
        <v>528.21002199999998</v>
      </c>
      <c r="H37" s="38">
        <v>517.57000700000003</v>
      </c>
      <c r="I37" s="38">
        <v>569.19000200000005</v>
      </c>
      <c r="J37" s="38">
        <v>610.34002699999996</v>
      </c>
      <c r="K37" s="38">
        <v>690.30999799999995</v>
      </c>
      <c r="L37" s="38">
        <v>641.90002400000003</v>
      </c>
      <c r="M37" s="38">
        <v>602.44000200000005</v>
      </c>
      <c r="N37" s="41">
        <f t="shared" si="0"/>
        <v>0.28219559066290889</v>
      </c>
      <c r="O37" s="37">
        <f t="shared" si="1"/>
        <v>1.0392436892514658E-3</v>
      </c>
    </row>
    <row r="38" spans="1:15" x14ac:dyDescent="0.25">
      <c r="A38" s="32">
        <v>2022</v>
      </c>
      <c r="B38" s="38">
        <v>427.14001500000001</v>
      </c>
      <c r="C38" s="38">
        <v>394.51998900000001</v>
      </c>
      <c r="D38" s="38">
        <v>374.58999599999999</v>
      </c>
      <c r="E38" s="38">
        <v>220</v>
      </c>
      <c r="F38" s="38"/>
      <c r="G38" s="38"/>
      <c r="H38" s="38"/>
      <c r="I38" s="38"/>
      <c r="J38" s="38"/>
      <c r="K38" s="38"/>
      <c r="L38" s="38"/>
      <c r="M38" s="38"/>
      <c r="N38" s="41">
        <f t="shared" si="0"/>
        <v>-0.97931580732165024</v>
      </c>
      <c r="O38" s="37">
        <f t="shared" si="1"/>
        <v>-6.5932665850360487E-3</v>
      </c>
    </row>
    <row r="39" spans="1:15" ht="15.75" thickBot="1" x14ac:dyDescent="0.3">
      <c r="A39" s="42" t="s">
        <v>49</v>
      </c>
      <c r="B39" s="43">
        <f>AVERAGE(B28:B38)</f>
        <v>209.939742</v>
      </c>
      <c r="C39" s="43">
        <f t="shared" ref="C39:N39" si="2">AVERAGE(C28:C38)</f>
        <v>214.69207627272726</v>
      </c>
      <c r="D39" s="43">
        <f t="shared" si="2"/>
        <v>211.54467309090907</v>
      </c>
      <c r="E39" s="43">
        <f t="shared" si="2"/>
        <v>204.21558200000001</v>
      </c>
      <c r="F39" s="43">
        <f t="shared" si="2"/>
        <v>207.32857350000003</v>
      </c>
      <c r="G39" s="43">
        <f t="shared" si="2"/>
        <v>217.96214660000001</v>
      </c>
      <c r="H39" s="43">
        <f t="shared" si="2"/>
        <v>215.75457310000002</v>
      </c>
      <c r="I39" s="43">
        <f t="shared" si="2"/>
        <v>226.46942790000003</v>
      </c>
      <c r="J39" s="43">
        <f t="shared" si="2"/>
        <v>225.16843200000002</v>
      </c>
      <c r="K39" s="43">
        <f t="shared" si="2"/>
        <v>229.84185539999999</v>
      </c>
      <c r="L39" s="43">
        <f t="shared" si="2"/>
        <v>227.47429030000004</v>
      </c>
      <c r="M39" s="43">
        <f t="shared" si="2"/>
        <v>227.91642880000001</v>
      </c>
      <c r="N39" s="44">
        <f t="shared" si="2"/>
        <v>6.1435796261286944E-2</v>
      </c>
      <c r="O39" s="42"/>
    </row>
    <row r="40" spans="1:15" ht="15.75" thickTop="1" x14ac:dyDescent="0.25"/>
  </sheetData>
  <mergeCells count="10">
    <mergeCell ref="B6:F6"/>
    <mergeCell ref="B7:F7"/>
    <mergeCell ref="B8:F8"/>
    <mergeCell ref="B9:F9"/>
    <mergeCell ref="B10:F10"/>
    <mergeCell ref="A1:F1"/>
    <mergeCell ref="A2:F2"/>
    <mergeCell ref="A3:F3"/>
    <mergeCell ref="B4:F4"/>
    <mergeCell ref="A5:F5"/>
  </mergeCells>
  <conditionalFormatting sqref="B13:M23">
    <cfRule type="colorScale" priority="3">
      <colorScale>
        <cfvo type="min"/>
        <cfvo type="percentile" val="50"/>
        <cfvo type="max"/>
        <color rgb="FF63BE7B"/>
        <color rgb="FFFFEB84"/>
        <color rgb="FFF8696B"/>
      </colorScale>
    </cfRule>
  </conditionalFormatting>
  <conditionalFormatting sqref="B28:M38">
    <cfRule type="colorScale" priority="2">
      <colorScale>
        <cfvo type="min"/>
        <cfvo type="percentile" val="50"/>
        <cfvo type="max"/>
        <color rgb="FFF8696B"/>
        <color rgb="FFFFEB84"/>
        <color rgb="FF63BE7B"/>
      </colorScale>
    </cfRule>
  </conditionalFormatting>
  <conditionalFormatting sqref="B39:M39">
    <cfRule type="colorScale" priority="1">
      <colorScale>
        <cfvo type="min"/>
        <cfvo type="percentile" val="50"/>
        <cfvo type="max"/>
        <color rgb="FFF8696B"/>
        <color rgb="FFFFEB84"/>
        <color rgb="FF63BE7B"/>
      </colorScale>
    </cfRule>
  </conditionalFormatting>
  <pageMargins left="0.7" right="0.7" top="0.75" bottom="0.75" header="0.3" footer="0.3"/>
  <ignoredErrors>
    <ignoredError sqref="N28:N38 O28:O38" formulaRange="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793D3-BFAA-4B28-BCFA-A1489F61B773}">
  <sheetPr codeName="Sheet7"/>
  <dimension ref="A3:N16"/>
  <sheetViews>
    <sheetView topLeftCell="D1" workbookViewId="0">
      <selection activeCell="B5" sqref="B5:M15"/>
    </sheetView>
  </sheetViews>
  <sheetFormatPr defaultRowHeight="15" x14ac:dyDescent="0.25"/>
  <cols>
    <col min="1" max="1" width="13.140625" bestFit="1" customWidth="1"/>
    <col min="2" max="2" width="16.28515625" bestFit="1" customWidth="1"/>
    <col min="3" max="9" width="12" bestFit="1" customWidth="1"/>
    <col min="10" max="10" width="11" bestFit="1" customWidth="1"/>
    <col min="11" max="14" width="12" bestFit="1" customWidth="1"/>
    <col min="15" max="124" width="16.28515625" bestFit="1" customWidth="1"/>
    <col min="125" max="125" width="11.28515625" bestFit="1" customWidth="1"/>
  </cols>
  <sheetData>
    <row r="3" spans="1:14" x14ac:dyDescent="0.25">
      <c r="A3" s="35" t="s">
        <v>109</v>
      </c>
      <c r="B3" s="35" t="s">
        <v>35</v>
      </c>
    </row>
    <row r="4" spans="1:14" x14ac:dyDescent="0.25">
      <c r="A4" s="35" t="s">
        <v>7</v>
      </c>
      <c r="B4" s="1" t="s">
        <v>19</v>
      </c>
      <c r="C4" s="1" t="s">
        <v>20</v>
      </c>
      <c r="D4" s="1" t="s">
        <v>9</v>
      </c>
      <c r="E4" s="1" t="s">
        <v>10</v>
      </c>
      <c r="F4" s="1" t="s">
        <v>11</v>
      </c>
      <c r="G4" s="1" t="s">
        <v>12</v>
      </c>
      <c r="H4" s="1" t="s">
        <v>13</v>
      </c>
      <c r="I4" s="1" t="s">
        <v>14</v>
      </c>
      <c r="J4" s="1" t="s">
        <v>15</v>
      </c>
      <c r="K4" s="1" t="s">
        <v>16</v>
      </c>
      <c r="L4" s="1" t="s">
        <v>17</v>
      </c>
      <c r="M4" s="1" t="s">
        <v>18</v>
      </c>
      <c r="N4" s="1" t="s">
        <v>8</v>
      </c>
    </row>
    <row r="5" spans="1:14" x14ac:dyDescent="0.25">
      <c r="A5" s="36" t="s">
        <v>23</v>
      </c>
      <c r="B5" s="22">
        <v>17.171429</v>
      </c>
      <c r="C5" s="22">
        <v>15.818571</v>
      </c>
      <c r="D5" s="22">
        <v>16.434286</v>
      </c>
      <c r="E5" s="22">
        <v>11.448570999999999</v>
      </c>
      <c r="F5" s="22">
        <v>9.0628569999999993</v>
      </c>
      <c r="G5" s="22">
        <v>9.7842859999999998</v>
      </c>
      <c r="H5" s="22">
        <v>8.1214289999999991</v>
      </c>
      <c r="I5" s="22">
        <v>8.5314289999999993</v>
      </c>
      <c r="J5" s="22">
        <v>7.7771429999999997</v>
      </c>
      <c r="K5" s="22">
        <v>11.32</v>
      </c>
      <c r="L5" s="22">
        <v>11.672857</v>
      </c>
      <c r="M5" s="22">
        <v>13.227143</v>
      </c>
      <c r="N5" s="22">
        <v>140.370001</v>
      </c>
    </row>
    <row r="6" spans="1:14" x14ac:dyDescent="0.25">
      <c r="A6" s="36" t="s">
        <v>24</v>
      </c>
      <c r="B6" s="22">
        <v>23.605715</v>
      </c>
      <c r="C6" s="22">
        <v>26.868569999999998</v>
      </c>
      <c r="D6" s="22">
        <v>27.040001</v>
      </c>
      <c r="E6" s="22">
        <v>30.867144</v>
      </c>
      <c r="F6" s="22">
        <v>32.321429999999999</v>
      </c>
      <c r="G6" s="22">
        <v>30.155714</v>
      </c>
      <c r="H6" s="22">
        <v>34.925713000000002</v>
      </c>
      <c r="I6" s="22">
        <v>40.558571000000001</v>
      </c>
      <c r="J6" s="22">
        <v>44.172854999999998</v>
      </c>
      <c r="K6" s="22">
        <v>46.068568999999997</v>
      </c>
      <c r="L6" s="22">
        <v>52.257140999999997</v>
      </c>
      <c r="M6" s="22">
        <v>52.595714999999998</v>
      </c>
      <c r="N6" s="22">
        <v>441.437138</v>
      </c>
    </row>
    <row r="7" spans="1:14" x14ac:dyDescent="0.25">
      <c r="A7" s="36" t="s">
        <v>25</v>
      </c>
      <c r="B7" s="22">
        <v>58.475715999999998</v>
      </c>
      <c r="C7" s="22">
        <v>63.661430000000003</v>
      </c>
      <c r="D7" s="22">
        <v>50.290000999999997</v>
      </c>
      <c r="E7" s="22">
        <v>46.005713999999998</v>
      </c>
      <c r="F7" s="22">
        <v>59.689999</v>
      </c>
      <c r="G7" s="22">
        <v>62.942855999999999</v>
      </c>
      <c r="H7" s="22">
        <v>60.388573000000001</v>
      </c>
      <c r="I7" s="22">
        <v>68.234283000000005</v>
      </c>
      <c r="J7" s="22">
        <v>64.454284999999999</v>
      </c>
      <c r="K7" s="22">
        <v>56.110000999999997</v>
      </c>
      <c r="L7" s="22">
        <v>49.512855999999999</v>
      </c>
      <c r="M7" s="22">
        <v>48.801430000000003</v>
      </c>
      <c r="N7" s="22">
        <v>688.5671440000001</v>
      </c>
    </row>
    <row r="8" spans="1:14" x14ac:dyDescent="0.25">
      <c r="A8" s="36" t="s">
        <v>26</v>
      </c>
      <c r="B8" s="22">
        <v>63.114285000000002</v>
      </c>
      <c r="C8" s="22">
        <v>67.844284000000002</v>
      </c>
      <c r="D8" s="22">
        <v>59.527141999999998</v>
      </c>
      <c r="E8" s="22">
        <v>79.5</v>
      </c>
      <c r="F8" s="22">
        <v>89.151427999999996</v>
      </c>
      <c r="G8" s="22">
        <v>93.848572000000004</v>
      </c>
      <c r="H8" s="22">
        <v>114.30999799999999</v>
      </c>
      <c r="I8" s="22">
        <v>115.029999</v>
      </c>
      <c r="J8" s="22">
        <v>103.260002</v>
      </c>
      <c r="K8" s="22">
        <v>108.379997</v>
      </c>
      <c r="L8" s="22">
        <v>123.33000199999999</v>
      </c>
      <c r="M8" s="22">
        <v>114.379997</v>
      </c>
      <c r="N8" s="22">
        <v>1131.675706</v>
      </c>
    </row>
    <row r="9" spans="1:14" x14ac:dyDescent="0.25">
      <c r="A9" s="36" t="s">
        <v>27</v>
      </c>
      <c r="B9" s="22">
        <v>91.839995999999999</v>
      </c>
      <c r="C9" s="22">
        <v>93.410004000000001</v>
      </c>
      <c r="D9" s="22">
        <v>102.230003</v>
      </c>
      <c r="E9" s="22">
        <v>90.029999000000004</v>
      </c>
      <c r="F9" s="22">
        <v>102.57</v>
      </c>
      <c r="G9" s="22">
        <v>91.480002999999996</v>
      </c>
      <c r="H9" s="22">
        <v>91.25</v>
      </c>
      <c r="I9" s="22">
        <v>97.449996999999996</v>
      </c>
      <c r="J9" s="22">
        <v>98.550003000000004</v>
      </c>
      <c r="K9" s="22">
        <v>124.870003</v>
      </c>
      <c r="L9" s="22">
        <v>117</v>
      </c>
      <c r="M9" s="22">
        <v>123.800003</v>
      </c>
      <c r="N9" s="22">
        <v>1224.4800110000001</v>
      </c>
    </row>
    <row r="10" spans="1:14" x14ac:dyDescent="0.25">
      <c r="A10" s="36" t="s">
        <v>28</v>
      </c>
      <c r="B10" s="22">
        <v>140.71000699999999</v>
      </c>
      <c r="C10" s="22">
        <v>142.13000500000001</v>
      </c>
      <c r="D10" s="22">
        <v>147.80999800000001</v>
      </c>
      <c r="E10" s="22">
        <v>152.199997</v>
      </c>
      <c r="F10" s="22">
        <v>163.070007</v>
      </c>
      <c r="G10" s="22">
        <v>149.41000399999999</v>
      </c>
      <c r="H10" s="22">
        <v>181.66000399999999</v>
      </c>
      <c r="I10" s="22">
        <v>174.71000699999999</v>
      </c>
      <c r="J10" s="22">
        <v>181.35000600000001</v>
      </c>
      <c r="K10" s="22">
        <v>196.429993</v>
      </c>
      <c r="L10" s="22">
        <v>187.58000200000001</v>
      </c>
      <c r="M10" s="22">
        <v>191.96000699999999</v>
      </c>
      <c r="N10" s="22">
        <v>2009.0200369999995</v>
      </c>
    </row>
    <row r="11" spans="1:14" x14ac:dyDescent="0.25">
      <c r="A11" s="36" t="s">
        <v>29</v>
      </c>
      <c r="B11" s="22">
        <v>270.29998799999998</v>
      </c>
      <c r="C11" s="22">
        <v>291.38000499999998</v>
      </c>
      <c r="D11" s="22">
        <v>295.35000600000001</v>
      </c>
      <c r="E11" s="22">
        <v>312.459991</v>
      </c>
      <c r="F11" s="22">
        <v>351.60000600000001</v>
      </c>
      <c r="G11" s="22">
        <v>391.42999300000002</v>
      </c>
      <c r="H11" s="22">
        <v>337.45001200000002</v>
      </c>
      <c r="I11" s="22">
        <v>367.67999300000002</v>
      </c>
      <c r="J11" s="22">
        <v>374.13000499999998</v>
      </c>
      <c r="K11" s="22">
        <v>301.77999899999998</v>
      </c>
      <c r="L11" s="22">
        <v>286.13000499999998</v>
      </c>
      <c r="M11" s="22">
        <v>267.66000400000001</v>
      </c>
      <c r="N11" s="22">
        <v>3847.350007</v>
      </c>
    </row>
    <row r="12" spans="1:14" x14ac:dyDescent="0.25">
      <c r="A12" s="36" t="s">
        <v>30</v>
      </c>
      <c r="B12" s="22">
        <v>339.5</v>
      </c>
      <c r="C12" s="22">
        <v>358.10000600000001</v>
      </c>
      <c r="D12" s="22">
        <v>356.55999800000001</v>
      </c>
      <c r="E12" s="22">
        <v>370.540009</v>
      </c>
      <c r="F12" s="22">
        <v>343.27999899999998</v>
      </c>
      <c r="G12" s="22">
        <v>367.32000699999998</v>
      </c>
      <c r="H12" s="22">
        <v>322.98998999999998</v>
      </c>
      <c r="I12" s="22">
        <v>293.75</v>
      </c>
      <c r="J12" s="22">
        <v>267.61999500000002</v>
      </c>
      <c r="K12" s="22">
        <v>287.41000400000001</v>
      </c>
      <c r="L12" s="22">
        <v>314.66000400000001</v>
      </c>
      <c r="M12" s="22">
        <v>323.57000699999998</v>
      </c>
      <c r="N12" s="22">
        <v>3945.3000189999993</v>
      </c>
    </row>
    <row r="13" spans="1:14" x14ac:dyDescent="0.25">
      <c r="A13" s="36" t="s">
        <v>31</v>
      </c>
      <c r="B13" s="22">
        <v>345.08999599999999</v>
      </c>
      <c r="C13" s="22">
        <v>369.02999899999998</v>
      </c>
      <c r="D13" s="22">
        <v>375.5</v>
      </c>
      <c r="E13" s="22">
        <v>419.85000600000001</v>
      </c>
      <c r="F13" s="22">
        <v>419.73001099999999</v>
      </c>
      <c r="G13" s="22">
        <v>455.040009</v>
      </c>
      <c r="H13" s="22">
        <v>488.88000499999998</v>
      </c>
      <c r="I13" s="22">
        <v>529.55999799999995</v>
      </c>
      <c r="J13" s="22">
        <v>500.02999899999998</v>
      </c>
      <c r="K13" s="22">
        <v>475.73998999999998</v>
      </c>
      <c r="L13" s="22">
        <v>490.70001200000002</v>
      </c>
      <c r="M13" s="22">
        <v>540.72997999999995</v>
      </c>
      <c r="N13" s="22">
        <v>5409.880005</v>
      </c>
    </row>
    <row r="14" spans="1:14" x14ac:dyDescent="0.25">
      <c r="A14" s="36" t="s">
        <v>32</v>
      </c>
      <c r="B14" s="22">
        <v>532.39001499999995</v>
      </c>
      <c r="C14" s="22">
        <v>538.84997599999997</v>
      </c>
      <c r="D14" s="22">
        <v>521.65997300000004</v>
      </c>
      <c r="E14" s="22">
        <v>513.46997099999999</v>
      </c>
      <c r="F14" s="22">
        <v>502.80999800000001</v>
      </c>
      <c r="G14" s="22">
        <v>528.21002199999998</v>
      </c>
      <c r="H14" s="22">
        <v>517.57000700000003</v>
      </c>
      <c r="I14" s="22">
        <v>569.19000200000005</v>
      </c>
      <c r="J14" s="22">
        <v>610.34002699999996</v>
      </c>
      <c r="K14" s="22">
        <v>690.30999799999995</v>
      </c>
      <c r="L14" s="22">
        <v>641.90002400000003</v>
      </c>
      <c r="M14" s="22">
        <v>602.44000200000005</v>
      </c>
      <c r="N14" s="22">
        <v>6769.1400149999999</v>
      </c>
    </row>
    <row r="15" spans="1:14" x14ac:dyDescent="0.25">
      <c r="A15" s="36" t="s">
        <v>33</v>
      </c>
      <c r="B15" s="22">
        <v>427.14001500000001</v>
      </c>
      <c r="C15" s="22">
        <v>394.51998900000001</v>
      </c>
      <c r="D15" s="22">
        <v>374.58999599999999</v>
      </c>
      <c r="E15" s="22">
        <v>348.60998499999999</v>
      </c>
      <c r="F15" s="22"/>
      <c r="G15" s="22"/>
      <c r="H15" s="22"/>
      <c r="I15" s="22"/>
      <c r="J15" s="22"/>
      <c r="K15" s="22"/>
      <c r="L15" s="22"/>
      <c r="M15" s="22"/>
      <c r="N15" s="22">
        <v>1544.8599850000001</v>
      </c>
    </row>
    <row r="16" spans="1:14" x14ac:dyDescent="0.25">
      <c r="A16" s="36" t="s">
        <v>8</v>
      </c>
      <c r="B16" s="22">
        <v>2309.3371619999998</v>
      </c>
      <c r="C16" s="22">
        <v>2361.6128389999999</v>
      </c>
      <c r="D16" s="22">
        <v>2326.9914039999999</v>
      </c>
      <c r="E16" s="22">
        <v>2374.9813870000003</v>
      </c>
      <c r="F16" s="22">
        <v>2073.2857350000004</v>
      </c>
      <c r="G16" s="22">
        <v>2179.6214660000001</v>
      </c>
      <c r="H16" s="22">
        <v>2157.5457310000002</v>
      </c>
      <c r="I16" s="22">
        <v>2264.6942790000003</v>
      </c>
      <c r="J16" s="22">
        <v>2251.6843200000003</v>
      </c>
      <c r="K16" s="22">
        <v>2298.4185539999999</v>
      </c>
      <c r="L16" s="22">
        <v>2274.7429030000003</v>
      </c>
      <c r="M16" s="22">
        <v>2279.1642879999999</v>
      </c>
      <c r="N16" s="22">
        <v>27152.080067999999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9268C-6704-4AFF-A8EE-B7B28D88B968}">
  <sheetPr codeName="Sheet8"/>
  <dimension ref="A1:G125"/>
  <sheetViews>
    <sheetView workbookViewId="0">
      <selection sqref="A1:G125"/>
    </sheetView>
  </sheetViews>
  <sheetFormatPr defaultRowHeight="15" x14ac:dyDescent="0.25"/>
  <cols>
    <col min="1" max="1" width="10.42578125" bestFit="1" customWidth="1"/>
    <col min="2" max="7" width="11" bestFit="1" customWidth="1"/>
  </cols>
  <sheetData>
    <row r="1" spans="1:7" x14ac:dyDescent="0.25">
      <c r="A1" t="s">
        <v>0</v>
      </c>
      <c r="B1" t="s">
        <v>1</v>
      </c>
      <c r="C1" t="s">
        <v>2</v>
      </c>
      <c r="D1" t="s">
        <v>3</v>
      </c>
      <c r="E1" t="s">
        <v>4</v>
      </c>
      <c r="F1" t="s">
        <v>5</v>
      </c>
      <c r="G1" t="s">
        <v>6</v>
      </c>
    </row>
    <row r="2" spans="1:7" x14ac:dyDescent="0.25">
      <c r="A2" s="1">
        <v>40909</v>
      </c>
      <c r="B2">
        <v>10.039999999999999</v>
      </c>
      <c r="C2">
        <v>18.497143000000001</v>
      </c>
      <c r="D2">
        <v>10.018571</v>
      </c>
      <c r="E2">
        <v>17.171429</v>
      </c>
      <c r="F2">
        <v>17.171429</v>
      </c>
      <c r="G2">
        <v>1829322600</v>
      </c>
    </row>
    <row r="3" spans="1:7" x14ac:dyDescent="0.25">
      <c r="A3" s="1">
        <v>40940</v>
      </c>
      <c r="B3">
        <v>17.344286</v>
      </c>
      <c r="C3">
        <v>19.061427999999999</v>
      </c>
      <c r="D3">
        <v>15.234286000000001</v>
      </c>
      <c r="E3">
        <v>15.818571</v>
      </c>
      <c r="F3">
        <v>15.818571</v>
      </c>
      <c r="G3">
        <v>1002673700</v>
      </c>
    </row>
    <row r="4" spans="1:7" x14ac:dyDescent="0.25">
      <c r="A4" s="1">
        <v>40969</v>
      </c>
      <c r="B4">
        <v>15.585713999999999</v>
      </c>
      <c r="C4">
        <v>17.639999</v>
      </c>
      <c r="D4">
        <v>14.647143</v>
      </c>
      <c r="E4">
        <v>16.434286</v>
      </c>
      <c r="F4">
        <v>16.434286</v>
      </c>
      <c r="G4">
        <v>814660700</v>
      </c>
    </row>
    <row r="5" spans="1:7" x14ac:dyDescent="0.25">
      <c r="A5" s="1">
        <v>41000</v>
      </c>
      <c r="B5">
        <v>16.399999999999999</v>
      </c>
      <c r="C5">
        <v>16.399999999999999</v>
      </c>
      <c r="D5">
        <v>11.394285999999999</v>
      </c>
      <c r="E5">
        <v>11.448570999999999</v>
      </c>
      <c r="F5">
        <v>11.448570999999999</v>
      </c>
      <c r="G5">
        <v>842254000</v>
      </c>
    </row>
    <row r="6" spans="1:7" x14ac:dyDescent="0.25">
      <c r="A6" s="1">
        <v>41030</v>
      </c>
      <c r="B6">
        <v>11.47</v>
      </c>
      <c r="C6">
        <v>11.854286</v>
      </c>
      <c r="D6">
        <v>8.91</v>
      </c>
      <c r="E6">
        <v>9.0628569999999993</v>
      </c>
      <c r="F6">
        <v>9.0628569999999993</v>
      </c>
      <c r="G6">
        <v>788860800</v>
      </c>
    </row>
    <row r="7" spans="1:7" x14ac:dyDescent="0.25">
      <c r="A7" s="1">
        <v>41061</v>
      </c>
      <c r="B7">
        <v>8.7071430000000003</v>
      </c>
      <c r="C7">
        <v>10.068571</v>
      </c>
      <c r="D7">
        <v>8.6714289999999998</v>
      </c>
      <c r="E7">
        <v>9.7842859999999998</v>
      </c>
      <c r="F7">
        <v>9.7842859999999998</v>
      </c>
      <c r="G7">
        <v>499411500</v>
      </c>
    </row>
    <row r="8" spans="1:7" x14ac:dyDescent="0.25">
      <c r="A8" s="1">
        <v>41091</v>
      </c>
      <c r="B8">
        <v>9.8242860000000007</v>
      </c>
      <c r="C8">
        <v>12.378571000000001</v>
      </c>
      <c r="D8">
        <v>8.02</v>
      </c>
      <c r="E8">
        <v>8.1214289999999991</v>
      </c>
      <c r="F8">
        <v>8.1214289999999991</v>
      </c>
      <c r="G8">
        <v>988045100</v>
      </c>
    </row>
    <row r="9" spans="1:7" x14ac:dyDescent="0.25">
      <c r="A9" s="1">
        <v>41122</v>
      </c>
      <c r="B9">
        <v>8.2042859999999997</v>
      </c>
      <c r="C9">
        <v>9.5214289999999995</v>
      </c>
      <c r="D9">
        <v>7.5442859999999996</v>
      </c>
      <c r="E9">
        <v>8.5314289999999993</v>
      </c>
      <c r="F9">
        <v>8.5314289999999993</v>
      </c>
      <c r="G9">
        <v>601008800</v>
      </c>
    </row>
    <row r="10" spans="1:7" x14ac:dyDescent="0.25">
      <c r="A10" s="1">
        <v>41153</v>
      </c>
      <c r="B10">
        <v>8.2857140000000005</v>
      </c>
      <c r="C10">
        <v>8.774286</v>
      </c>
      <c r="D10">
        <v>7.5785710000000002</v>
      </c>
      <c r="E10">
        <v>7.7771429999999997</v>
      </c>
      <c r="F10">
        <v>7.7771429999999997</v>
      </c>
      <c r="G10">
        <v>639131500</v>
      </c>
    </row>
    <row r="11" spans="1:7" x14ac:dyDescent="0.25">
      <c r="A11" s="1">
        <v>41183</v>
      </c>
      <c r="B11">
        <v>7.8</v>
      </c>
      <c r="C11">
        <v>12.135714</v>
      </c>
      <c r="D11">
        <v>7.7628570000000003</v>
      </c>
      <c r="E11">
        <v>11.32</v>
      </c>
      <c r="F11">
        <v>11.32</v>
      </c>
      <c r="G11">
        <v>1114314600</v>
      </c>
    </row>
    <row r="12" spans="1:7" x14ac:dyDescent="0.25">
      <c r="A12" s="1">
        <v>41214</v>
      </c>
      <c r="B12">
        <v>11.121428999999999</v>
      </c>
      <c r="C12">
        <v>12.08</v>
      </c>
      <c r="D12">
        <v>10.642856999999999</v>
      </c>
      <c r="E12">
        <v>11.672857</v>
      </c>
      <c r="F12">
        <v>11.672857</v>
      </c>
      <c r="G12">
        <v>498027600</v>
      </c>
    </row>
    <row r="13" spans="1:7" x14ac:dyDescent="0.25">
      <c r="A13" s="1">
        <v>41244</v>
      </c>
      <c r="B13">
        <v>11.692857</v>
      </c>
      <c r="C13">
        <v>13.971429000000001</v>
      </c>
      <c r="D13">
        <v>10.642856999999999</v>
      </c>
      <c r="E13">
        <v>13.227143</v>
      </c>
      <c r="F13">
        <v>13.227143</v>
      </c>
      <c r="G13">
        <v>598236100</v>
      </c>
    </row>
    <row r="14" spans="1:7" x14ac:dyDescent="0.25">
      <c r="A14" s="1">
        <v>41275</v>
      </c>
      <c r="B14">
        <v>13.601429</v>
      </c>
      <c r="C14">
        <v>25.321428000000001</v>
      </c>
      <c r="D14">
        <v>12.955714</v>
      </c>
      <c r="E14">
        <v>23.605715</v>
      </c>
      <c r="F14">
        <v>23.605715</v>
      </c>
      <c r="G14">
        <v>991909100</v>
      </c>
    </row>
    <row r="15" spans="1:7" x14ac:dyDescent="0.25">
      <c r="A15" s="1">
        <v>41306</v>
      </c>
      <c r="B15">
        <v>24.285713000000001</v>
      </c>
      <c r="C15">
        <v>28.231428000000001</v>
      </c>
      <c r="D15">
        <v>23.254286</v>
      </c>
      <c r="E15">
        <v>26.868569999999998</v>
      </c>
      <c r="F15">
        <v>26.868569999999998</v>
      </c>
      <c r="G15">
        <v>755571600</v>
      </c>
    </row>
    <row r="16" spans="1:7" x14ac:dyDescent="0.25">
      <c r="A16" s="1">
        <v>41334</v>
      </c>
      <c r="B16">
        <v>26.73</v>
      </c>
      <c r="C16">
        <v>28.151427999999999</v>
      </c>
      <c r="D16">
        <v>25.165714000000001</v>
      </c>
      <c r="E16">
        <v>27.040001</v>
      </c>
      <c r="F16">
        <v>27.040001</v>
      </c>
      <c r="G16">
        <v>520408700</v>
      </c>
    </row>
    <row r="17" spans="1:7" x14ac:dyDescent="0.25">
      <c r="A17" s="1">
        <v>41365</v>
      </c>
      <c r="B17">
        <v>27.278569999999998</v>
      </c>
      <c r="C17">
        <v>32.042858000000003</v>
      </c>
      <c r="D17">
        <v>22.714286999999999</v>
      </c>
      <c r="E17">
        <v>30.867144</v>
      </c>
      <c r="F17">
        <v>30.867144</v>
      </c>
      <c r="G17">
        <v>854536200</v>
      </c>
    </row>
    <row r="18" spans="1:7" x14ac:dyDescent="0.25">
      <c r="A18" s="1">
        <v>41395</v>
      </c>
      <c r="B18">
        <v>30.845714999999998</v>
      </c>
      <c r="C18">
        <v>35.549999</v>
      </c>
      <c r="D18">
        <v>29.145714000000002</v>
      </c>
      <c r="E18">
        <v>32.321429999999999</v>
      </c>
      <c r="F18">
        <v>32.321429999999999</v>
      </c>
      <c r="G18">
        <v>536788000</v>
      </c>
    </row>
    <row r="19" spans="1:7" x14ac:dyDescent="0.25">
      <c r="A19" s="1">
        <v>41426</v>
      </c>
      <c r="B19">
        <v>32.435715000000002</v>
      </c>
      <c r="C19">
        <v>33.697144000000002</v>
      </c>
      <c r="D19">
        <v>29.392856999999999</v>
      </c>
      <c r="E19">
        <v>30.155714</v>
      </c>
      <c r="F19">
        <v>30.155714</v>
      </c>
      <c r="G19">
        <v>412636700</v>
      </c>
    </row>
    <row r="20" spans="1:7" x14ac:dyDescent="0.25">
      <c r="A20" s="1">
        <v>41456</v>
      </c>
      <c r="B20">
        <v>30.517143000000001</v>
      </c>
      <c r="C20">
        <v>38.615715000000002</v>
      </c>
      <c r="D20">
        <v>30.285713000000001</v>
      </c>
      <c r="E20">
        <v>34.925713000000002</v>
      </c>
      <c r="F20">
        <v>34.925713000000002</v>
      </c>
      <c r="G20">
        <v>542920700</v>
      </c>
    </row>
    <row r="21" spans="1:7" x14ac:dyDescent="0.25">
      <c r="A21" s="1">
        <v>41487</v>
      </c>
      <c r="B21">
        <v>35.220001000000003</v>
      </c>
      <c r="C21">
        <v>41.46143</v>
      </c>
      <c r="D21">
        <v>34.482857000000003</v>
      </c>
      <c r="E21">
        <v>40.558571000000001</v>
      </c>
      <c r="F21">
        <v>40.558571000000001</v>
      </c>
      <c r="G21">
        <v>416838800</v>
      </c>
    </row>
    <row r="22" spans="1:7" x14ac:dyDescent="0.25">
      <c r="A22" s="1">
        <v>41518</v>
      </c>
      <c r="B22">
        <v>41.061427999999999</v>
      </c>
      <c r="C22">
        <v>45.77</v>
      </c>
      <c r="D22">
        <v>40.650002000000001</v>
      </c>
      <c r="E22">
        <v>44.172854999999998</v>
      </c>
      <c r="F22">
        <v>44.172854999999998</v>
      </c>
      <c r="G22">
        <v>386857800</v>
      </c>
    </row>
    <row r="23" spans="1:7" x14ac:dyDescent="0.25">
      <c r="A23" s="1">
        <v>41548</v>
      </c>
      <c r="B23">
        <v>44.967143999999998</v>
      </c>
      <c r="C23">
        <v>55.594287999999999</v>
      </c>
      <c r="D23">
        <v>40.400002000000001</v>
      </c>
      <c r="E23">
        <v>46.068568999999997</v>
      </c>
      <c r="F23">
        <v>46.068568999999997</v>
      </c>
      <c r="G23">
        <v>840456400</v>
      </c>
    </row>
    <row r="24" spans="1:7" x14ac:dyDescent="0.25">
      <c r="A24" s="1">
        <v>41579</v>
      </c>
      <c r="B24">
        <v>46.975715999999998</v>
      </c>
      <c r="C24">
        <v>52.542858000000003</v>
      </c>
      <c r="D24">
        <v>46.450001</v>
      </c>
      <c r="E24">
        <v>52.257140999999997</v>
      </c>
      <c r="F24">
        <v>52.257140999999997</v>
      </c>
      <c r="G24">
        <v>343557900</v>
      </c>
    </row>
    <row r="25" spans="1:7" x14ac:dyDescent="0.25">
      <c r="A25" s="1">
        <v>41609</v>
      </c>
      <c r="B25">
        <v>52.125712999999998</v>
      </c>
      <c r="C25">
        <v>54.851429000000003</v>
      </c>
      <c r="D25">
        <v>50.285713000000001</v>
      </c>
      <c r="E25">
        <v>52.595714999999998</v>
      </c>
      <c r="F25">
        <v>52.595714999999998</v>
      </c>
      <c r="G25">
        <v>313308800</v>
      </c>
    </row>
    <row r="26" spans="1:7" x14ac:dyDescent="0.25">
      <c r="A26" s="1">
        <v>41640</v>
      </c>
      <c r="B26">
        <v>52.401428000000003</v>
      </c>
      <c r="C26">
        <v>58.914287999999999</v>
      </c>
      <c r="D26">
        <v>45.581429</v>
      </c>
      <c r="E26">
        <v>58.475715999999998</v>
      </c>
      <c r="F26">
        <v>58.475715999999998</v>
      </c>
      <c r="G26">
        <v>600418700</v>
      </c>
    </row>
    <row r="27" spans="1:7" x14ac:dyDescent="0.25">
      <c r="A27" s="1">
        <v>41671</v>
      </c>
      <c r="B27">
        <v>58.842857000000002</v>
      </c>
      <c r="C27">
        <v>65.398567</v>
      </c>
      <c r="D27">
        <v>56.715713999999998</v>
      </c>
      <c r="E27">
        <v>63.661430000000003</v>
      </c>
      <c r="F27">
        <v>63.661430000000003</v>
      </c>
      <c r="G27">
        <v>317384200</v>
      </c>
    </row>
    <row r="28" spans="1:7" x14ac:dyDescent="0.25">
      <c r="A28" s="1">
        <v>41699</v>
      </c>
      <c r="B28">
        <v>63.027141999999998</v>
      </c>
      <c r="C28">
        <v>65.428573999999998</v>
      </c>
      <c r="D28">
        <v>49.982857000000003</v>
      </c>
      <c r="E28">
        <v>50.290000999999997</v>
      </c>
      <c r="F28">
        <v>50.290000999999997</v>
      </c>
      <c r="G28">
        <v>377239800</v>
      </c>
    </row>
    <row r="29" spans="1:7" x14ac:dyDescent="0.25">
      <c r="A29" s="1">
        <v>41730</v>
      </c>
      <c r="B29">
        <v>50.25</v>
      </c>
      <c r="C29">
        <v>54.411430000000003</v>
      </c>
      <c r="D29">
        <v>42.785713000000001</v>
      </c>
      <c r="E29">
        <v>46.005713999999998</v>
      </c>
      <c r="F29">
        <v>46.005713999999998</v>
      </c>
      <c r="G29">
        <v>648605300</v>
      </c>
    </row>
    <row r="30" spans="1:7" x14ac:dyDescent="0.25">
      <c r="A30" s="1">
        <v>41760</v>
      </c>
      <c r="B30">
        <v>46.292858000000003</v>
      </c>
      <c r="C30">
        <v>60.248569000000003</v>
      </c>
      <c r="D30">
        <v>44.908569</v>
      </c>
      <c r="E30">
        <v>59.689999</v>
      </c>
      <c r="F30">
        <v>59.689999</v>
      </c>
      <c r="G30">
        <v>523837300</v>
      </c>
    </row>
    <row r="31" spans="1:7" x14ac:dyDescent="0.25">
      <c r="A31" s="1">
        <v>41791</v>
      </c>
      <c r="B31">
        <v>59.925713000000002</v>
      </c>
      <c r="C31">
        <v>64.402855000000002</v>
      </c>
      <c r="D31">
        <v>58.928570000000001</v>
      </c>
      <c r="E31">
        <v>62.942855999999999</v>
      </c>
      <c r="F31">
        <v>62.942855999999999</v>
      </c>
      <c r="G31">
        <v>352660000</v>
      </c>
    </row>
    <row r="32" spans="1:7" x14ac:dyDescent="0.25">
      <c r="A32" s="1">
        <v>41821</v>
      </c>
      <c r="B32">
        <v>65.175713000000002</v>
      </c>
      <c r="C32">
        <v>67.981430000000003</v>
      </c>
      <c r="D32">
        <v>59.78857</v>
      </c>
      <c r="E32">
        <v>60.388573000000001</v>
      </c>
      <c r="F32">
        <v>60.388573000000001</v>
      </c>
      <c r="G32">
        <v>429839200</v>
      </c>
    </row>
    <row r="33" spans="1:7" x14ac:dyDescent="0.25">
      <c r="A33" s="1">
        <v>41852</v>
      </c>
      <c r="B33">
        <v>60.251430999999997</v>
      </c>
      <c r="C33">
        <v>69.328568000000004</v>
      </c>
      <c r="D33">
        <v>58.93</v>
      </c>
      <c r="E33">
        <v>68.234283000000005</v>
      </c>
      <c r="F33">
        <v>68.234283000000005</v>
      </c>
      <c r="G33">
        <v>274274000</v>
      </c>
    </row>
    <row r="34" spans="1:7" x14ac:dyDescent="0.25">
      <c r="A34" s="1">
        <v>41883</v>
      </c>
      <c r="B34">
        <v>68.357140000000001</v>
      </c>
      <c r="C34">
        <v>69.898567</v>
      </c>
      <c r="D34">
        <v>62.697144000000002</v>
      </c>
      <c r="E34">
        <v>64.454284999999999</v>
      </c>
      <c r="F34">
        <v>64.454284999999999</v>
      </c>
      <c r="G34">
        <v>268345700</v>
      </c>
    </row>
    <row r="35" spans="1:7" x14ac:dyDescent="0.25">
      <c r="A35" s="1">
        <v>41913</v>
      </c>
      <c r="B35">
        <v>64.098572000000004</v>
      </c>
      <c r="C35">
        <v>66.855712999999994</v>
      </c>
      <c r="D35">
        <v>47.285713000000001</v>
      </c>
      <c r="E35">
        <v>56.110000999999997</v>
      </c>
      <c r="F35">
        <v>56.110000999999997</v>
      </c>
      <c r="G35">
        <v>583226000</v>
      </c>
    </row>
    <row r="36" spans="1:7" x14ac:dyDescent="0.25">
      <c r="A36" s="1">
        <v>41944</v>
      </c>
      <c r="B36">
        <v>56.175713000000002</v>
      </c>
      <c r="C36">
        <v>56.502856999999999</v>
      </c>
      <c r="D36">
        <v>49.142856999999999</v>
      </c>
      <c r="E36">
        <v>49.512855999999999</v>
      </c>
      <c r="F36">
        <v>49.512855999999999</v>
      </c>
      <c r="G36">
        <v>256594800</v>
      </c>
    </row>
    <row r="37" spans="1:7" x14ac:dyDescent="0.25">
      <c r="A37" s="1">
        <v>41974</v>
      </c>
      <c r="B37">
        <v>49.285713000000001</v>
      </c>
      <c r="C37">
        <v>51.135714999999998</v>
      </c>
      <c r="D37">
        <v>45.077145000000002</v>
      </c>
      <c r="E37">
        <v>48.801430000000003</v>
      </c>
      <c r="F37">
        <v>48.801430000000003</v>
      </c>
      <c r="G37">
        <v>265990200</v>
      </c>
    </row>
    <row r="38" spans="1:7" x14ac:dyDescent="0.25">
      <c r="A38" s="1">
        <v>42005</v>
      </c>
      <c r="B38">
        <v>49.151428000000003</v>
      </c>
      <c r="C38">
        <v>65.339995999999999</v>
      </c>
      <c r="D38">
        <v>45.264285999999998</v>
      </c>
      <c r="E38">
        <v>63.114285000000002</v>
      </c>
      <c r="F38">
        <v>63.114285000000002</v>
      </c>
      <c r="G38">
        <v>425938100</v>
      </c>
    </row>
    <row r="39" spans="1:7" x14ac:dyDescent="0.25">
      <c r="A39" s="1">
        <v>42036</v>
      </c>
      <c r="B39">
        <v>62.842857000000002</v>
      </c>
      <c r="C39">
        <v>69.5</v>
      </c>
      <c r="D39">
        <v>61.955714999999998</v>
      </c>
      <c r="E39">
        <v>67.844284000000002</v>
      </c>
      <c r="F39">
        <v>67.844284000000002</v>
      </c>
      <c r="G39">
        <v>209678700</v>
      </c>
    </row>
    <row r="40" spans="1:7" x14ac:dyDescent="0.25">
      <c r="A40" s="1">
        <v>42064</v>
      </c>
      <c r="B40">
        <v>67.714286999999999</v>
      </c>
      <c r="C40">
        <v>68.607140000000001</v>
      </c>
      <c r="D40">
        <v>58.572856999999999</v>
      </c>
      <c r="E40">
        <v>59.527141999999998</v>
      </c>
      <c r="F40">
        <v>59.527141999999998</v>
      </c>
      <c r="G40">
        <v>327866000</v>
      </c>
    </row>
    <row r="41" spans="1:7" x14ac:dyDescent="0.25">
      <c r="A41" s="1">
        <v>42095</v>
      </c>
      <c r="B41">
        <v>59.642856999999999</v>
      </c>
      <c r="C41">
        <v>82.304282999999998</v>
      </c>
      <c r="D41">
        <v>58.464286999999999</v>
      </c>
      <c r="E41">
        <v>79.5</v>
      </c>
      <c r="F41">
        <v>79.5</v>
      </c>
      <c r="G41">
        <v>508463900</v>
      </c>
    </row>
    <row r="42" spans="1:7" x14ac:dyDescent="0.25">
      <c r="A42" s="1">
        <v>42125</v>
      </c>
      <c r="B42">
        <v>79.855712999999994</v>
      </c>
      <c r="C42">
        <v>90.205710999999994</v>
      </c>
      <c r="D42">
        <v>78.894287000000006</v>
      </c>
      <c r="E42">
        <v>89.151427999999996</v>
      </c>
      <c r="F42">
        <v>89.151427999999996</v>
      </c>
      <c r="G42">
        <v>280030800</v>
      </c>
    </row>
    <row r="43" spans="1:7" x14ac:dyDescent="0.25">
      <c r="A43" s="1">
        <v>42156</v>
      </c>
      <c r="B43">
        <v>88.837142999999998</v>
      </c>
      <c r="C43">
        <v>100.891426</v>
      </c>
      <c r="D43">
        <v>87.944282999999999</v>
      </c>
      <c r="E43">
        <v>93.848572000000004</v>
      </c>
      <c r="F43">
        <v>93.848572000000004</v>
      </c>
      <c r="G43">
        <v>469260400</v>
      </c>
    </row>
    <row r="44" spans="1:7" x14ac:dyDescent="0.25">
      <c r="A44" s="1">
        <v>42186</v>
      </c>
      <c r="B44">
        <v>94.805717000000001</v>
      </c>
      <c r="C44">
        <v>117.879997</v>
      </c>
      <c r="D44">
        <v>92.284285999999994</v>
      </c>
      <c r="E44">
        <v>114.30999799999999</v>
      </c>
      <c r="F44">
        <v>114.30999799999999</v>
      </c>
      <c r="G44">
        <v>406357500</v>
      </c>
    </row>
    <row r="45" spans="1:7" x14ac:dyDescent="0.25">
      <c r="A45" s="1">
        <v>42217</v>
      </c>
      <c r="B45">
        <v>114.599998</v>
      </c>
      <c r="C45">
        <v>129.28999300000001</v>
      </c>
      <c r="D45">
        <v>85.5</v>
      </c>
      <c r="E45">
        <v>115.029999</v>
      </c>
      <c r="F45">
        <v>115.029999</v>
      </c>
      <c r="G45">
        <v>469661800</v>
      </c>
    </row>
    <row r="46" spans="1:7" x14ac:dyDescent="0.25">
      <c r="A46" s="1">
        <v>42248</v>
      </c>
      <c r="B46">
        <v>109.349998</v>
      </c>
      <c r="C46">
        <v>111.239998</v>
      </c>
      <c r="D46">
        <v>93.550003000000004</v>
      </c>
      <c r="E46">
        <v>103.260002</v>
      </c>
      <c r="F46">
        <v>103.260002</v>
      </c>
      <c r="G46">
        <v>497401200</v>
      </c>
    </row>
    <row r="47" spans="1:7" x14ac:dyDescent="0.25">
      <c r="A47" s="1">
        <v>42278</v>
      </c>
      <c r="B47">
        <v>102.910004</v>
      </c>
      <c r="C47">
        <v>115.83000199999999</v>
      </c>
      <c r="D47">
        <v>96.260002</v>
      </c>
      <c r="E47">
        <v>108.379997</v>
      </c>
      <c r="F47">
        <v>108.379997</v>
      </c>
      <c r="G47">
        <v>446204400</v>
      </c>
    </row>
    <row r="48" spans="1:7" x14ac:dyDescent="0.25">
      <c r="A48" s="1">
        <v>42309</v>
      </c>
      <c r="B48">
        <v>109.199997</v>
      </c>
      <c r="C48">
        <v>126.599998</v>
      </c>
      <c r="D48">
        <v>101.860001</v>
      </c>
      <c r="E48">
        <v>123.33000199999999</v>
      </c>
      <c r="F48">
        <v>123.33000199999999</v>
      </c>
      <c r="G48">
        <v>320321800</v>
      </c>
    </row>
    <row r="49" spans="1:7" x14ac:dyDescent="0.25">
      <c r="A49" s="1">
        <v>42339</v>
      </c>
      <c r="B49">
        <v>124.470001</v>
      </c>
      <c r="C49">
        <v>133.270004</v>
      </c>
      <c r="D49">
        <v>113.849998</v>
      </c>
      <c r="E49">
        <v>114.379997</v>
      </c>
      <c r="F49">
        <v>114.379997</v>
      </c>
      <c r="G49">
        <v>319939200</v>
      </c>
    </row>
    <row r="50" spans="1:7" x14ac:dyDescent="0.25">
      <c r="A50" s="1">
        <v>42370</v>
      </c>
      <c r="B50">
        <v>109</v>
      </c>
      <c r="C50">
        <v>122.18</v>
      </c>
      <c r="D50">
        <v>90.110000999999997</v>
      </c>
      <c r="E50">
        <v>91.839995999999999</v>
      </c>
      <c r="F50">
        <v>91.839995999999999</v>
      </c>
      <c r="G50">
        <v>488193200</v>
      </c>
    </row>
    <row r="51" spans="1:7" x14ac:dyDescent="0.25">
      <c r="A51" s="1">
        <v>42401</v>
      </c>
      <c r="B51">
        <v>91.790001000000004</v>
      </c>
      <c r="C51">
        <v>97.480002999999996</v>
      </c>
      <c r="D51">
        <v>79.949996999999996</v>
      </c>
      <c r="E51">
        <v>93.410004000000001</v>
      </c>
      <c r="F51">
        <v>93.410004000000001</v>
      </c>
      <c r="G51">
        <v>389268900</v>
      </c>
    </row>
    <row r="52" spans="1:7" x14ac:dyDescent="0.25">
      <c r="A52" s="1">
        <v>42430</v>
      </c>
      <c r="B52">
        <v>94.580001999999993</v>
      </c>
      <c r="C52">
        <v>104.910004</v>
      </c>
      <c r="D52">
        <v>93.610000999999997</v>
      </c>
      <c r="E52">
        <v>102.230003</v>
      </c>
      <c r="F52">
        <v>102.230003</v>
      </c>
      <c r="G52">
        <v>311333700</v>
      </c>
    </row>
    <row r="53" spans="1:7" x14ac:dyDescent="0.25">
      <c r="A53" s="1">
        <v>42461</v>
      </c>
      <c r="B53">
        <v>102.93</v>
      </c>
      <c r="C53">
        <v>111.849998</v>
      </c>
      <c r="D53">
        <v>88.209998999999996</v>
      </c>
      <c r="E53">
        <v>90.029999000000004</v>
      </c>
      <c r="F53">
        <v>90.029999000000004</v>
      </c>
      <c r="G53">
        <v>340174300</v>
      </c>
    </row>
    <row r="54" spans="1:7" x14ac:dyDescent="0.25">
      <c r="A54" s="1">
        <v>42491</v>
      </c>
      <c r="B54">
        <v>90.410004000000001</v>
      </c>
      <c r="C54">
        <v>104</v>
      </c>
      <c r="D54">
        <v>85.739998</v>
      </c>
      <c r="E54">
        <v>102.57</v>
      </c>
      <c r="F54">
        <v>102.57</v>
      </c>
      <c r="G54">
        <v>264997900</v>
      </c>
    </row>
    <row r="55" spans="1:7" x14ac:dyDescent="0.25">
      <c r="A55" s="1">
        <v>42522</v>
      </c>
      <c r="B55">
        <v>101.5</v>
      </c>
      <c r="C55">
        <v>102.150002</v>
      </c>
      <c r="D55">
        <v>84.809997999999993</v>
      </c>
      <c r="E55">
        <v>91.480002999999996</v>
      </c>
      <c r="F55">
        <v>91.480002999999996</v>
      </c>
      <c r="G55">
        <v>218216500</v>
      </c>
    </row>
    <row r="56" spans="1:7" x14ac:dyDescent="0.25">
      <c r="A56" s="1">
        <v>42552</v>
      </c>
      <c r="B56">
        <v>95</v>
      </c>
      <c r="C56">
        <v>101.269997</v>
      </c>
      <c r="D56">
        <v>84.5</v>
      </c>
      <c r="E56">
        <v>91.25</v>
      </c>
      <c r="F56">
        <v>91.25</v>
      </c>
      <c r="G56">
        <v>320138000</v>
      </c>
    </row>
    <row r="57" spans="1:7" x14ac:dyDescent="0.25">
      <c r="A57" s="1">
        <v>42583</v>
      </c>
      <c r="B57">
        <v>91.230002999999996</v>
      </c>
      <c r="C57">
        <v>98.849997999999999</v>
      </c>
      <c r="D57">
        <v>90.5</v>
      </c>
      <c r="E57">
        <v>97.449996999999996</v>
      </c>
      <c r="F57">
        <v>97.449996999999996</v>
      </c>
      <c r="G57">
        <v>182611000</v>
      </c>
    </row>
    <row r="58" spans="1:7" x14ac:dyDescent="0.25">
      <c r="A58" s="1">
        <v>42614</v>
      </c>
      <c r="B58">
        <v>97.809997999999993</v>
      </c>
      <c r="C58">
        <v>100.349998</v>
      </c>
      <c r="D58">
        <v>93.260002</v>
      </c>
      <c r="E58">
        <v>98.550003000000004</v>
      </c>
      <c r="F58">
        <v>98.550003000000004</v>
      </c>
      <c r="G58">
        <v>169670600</v>
      </c>
    </row>
    <row r="59" spans="1:7" x14ac:dyDescent="0.25">
      <c r="A59" s="1">
        <v>42644</v>
      </c>
      <c r="B59">
        <v>98</v>
      </c>
      <c r="C59">
        <v>129.28999300000001</v>
      </c>
      <c r="D59">
        <v>97.629997000000003</v>
      </c>
      <c r="E59">
        <v>124.870003</v>
      </c>
      <c r="F59">
        <v>124.870003</v>
      </c>
      <c r="G59">
        <v>274097800</v>
      </c>
    </row>
    <row r="60" spans="1:7" x14ac:dyDescent="0.25">
      <c r="A60" s="1">
        <v>42675</v>
      </c>
      <c r="B60">
        <v>124.980003</v>
      </c>
      <c r="C60">
        <v>125.83000199999999</v>
      </c>
      <c r="D60">
        <v>110.68</v>
      </c>
      <c r="E60">
        <v>117</v>
      </c>
      <c r="F60">
        <v>117</v>
      </c>
      <c r="G60">
        <v>147513000</v>
      </c>
    </row>
    <row r="61" spans="1:7" x14ac:dyDescent="0.25">
      <c r="A61" s="1">
        <v>42705</v>
      </c>
      <c r="B61">
        <v>117.519997</v>
      </c>
      <c r="C61">
        <v>129.070007</v>
      </c>
      <c r="D61">
        <v>113.949997</v>
      </c>
      <c r="E61">
        <v>123.800003</v>
      </c>
      <c r="F61">
        <v>123.800003</v>
      </c>
      <c r="G61">
        <v>128528700</v>
      </c>
    </row>
    <row r="62" spans="1:7" x14ac:dyDescent="0.25">
      <c r="A62" s="1">
        <v>42736</v>
      </c>
      <c r="B62">
        <v>124.959999</v>
      </c>
      <c r="C62">
        <v>143.46000699999999</v>
      </c>
      <c r="D62">
        <v>124.30999799999999</v>
      </c>
      <c r="E62">
        <v>140.71000699999999</v>
      </c>
      <c r="F62">
        <v>140.71000699999999</v>
      </c>
      <c r="G62">
        <v>181814100</v>
      </c>
    </row>
    <row r="63" spans="1:7" x14ac:dyDescent="0.25">
      <c r="A63" s="1">
        <v>42767</v>
      </c>
      <c r="B63">
        <v>141.199997</v>
      </c>
      <c r="C63">
        <v>145.949997</v>
      </c>
      <c r="D63">
        <v>139.050003</v>
      </c>
      <c r="E63">
        <v>142.13000500000001</v>
      </c>
      <c r="F63">
        <v>142.13000500000001</v>
      </c>
      <c r="G63">
        <v>91444800</v>
      </c>
    </row>
    <row r="64" spans="1:7" x14ac:dyDescent="0.25">
      <c r="A64" s="1">
        <v>42795</v>
      </c>
      <c r="B64">
        <v>142.83999600000001</v>
      </c>
      <c r="C64">
        <v>148.28999300000001</v>
      </c>
      <c r="D64">
        <v>138.259995</v>
      </c>
      <c r="E64">
        <v>147.80999800000001</v>
      </c>
      <c r="F64">
        <v>147.80999800000001</v>
      </c>
      <c r="G64">
        <v>110692700</v>
      </c>
    </row>
    <row r="65" spans="1:7" x14ac:dyDescent="0.25">
      <c r="A65" s="1">
        <v>42826</v>
      </c>
      <c r="B65">
        <v>146.699997</v>
      </c>
      <c r="C65">
        <v>153.520004</v>
      </c>
      <c r="D65">
        <v>138.66000399999999</v>
      </c>
      <c r="E65">
        <v>152.199997</v>
      </c>
      <c r="F65">
        <v>152.199997</v>
      </c>
      <c r="G65">
        <v>149779000</v>
      </c>
    </row>
    <row r="66" spans="1:7" x14ac:dyDescent="0.25">
      <c r="A66" s="1">
        <v>42856</v>
      </c>
      <c r="B66">
        <v>151.91000399999999</v>
      </c>
      <c r="C66">
        <v>164.75</v>
      </c>
      <c r="D66">
        <v>151.61000100000001</v>
      </c>
      <c r="E66">
        <v>163.070007</v>
      </c>
      <c r="F66">
        <v>163.070007</v>
      </c>
      <c r="G66">
        <v>116795800</v>
      </c>
    </row>
    <row r="67" spans="1:7" x14ac:dyDescent="0.25">
      <c r="A67" s="1">
        <v>42887</v>
      </c>
      <c r="B67">
        <v>163.520004</v>
      </c>
      <c r="C67">
        <v>166.86999499999999</v>
      </c>
      <c r="D67">
        <v>147.300003</v>
      </c>
      <c r="E67">
        <v>149.41000399999999</v>
      </c>
      <c r="F67">
        <v>149.41000399999999</v>
      </c>
      <c r="G67">
        <v>135699700</v>
      </c>
    </row>
    <row r="68" spans="1:7" x14ac:dyDescent="0.25">
      <c r="A68" s="1">
        <v>42917</v>
      </c>
      <c r="B68">
        <v>149.800003</v>
      </c>
      <c r="C68">
        <v>191.5</v>
      </c>
      <c r="D68">
        <v>144.25</v>
      </c>
      <c r="E68">
        <v>181.66000399999999</v>
      </c>
      <c r="F68">
        <v>181.66000399999999</v>
      </c>
      <c r="G68">
        <v>185144700</v>
      </c>
    </row>
    <row r="69" spans="1:7" x14ac:dyDescent="0.25">
      <c r="A69" s="1">
        <v>42948</v>
      </c>
      <c r="B69">
        <v>182.490005</v>
      </c>
      <c r="C69">
        <v>184.61999499999999</v>
      </c>
      <c r="D69">
        <v>164.229996</v>
      </c>
      <c r="E69">
        <v>174.71000699999999</v>
      </c>
      <c r="F69">
        <v>174.71000699999999</v>
      </c>
      <c r="G69">
        <v>136534400</v>
      </c>
    </row>
    <row r="70" spans="1:7" x14ac:dyDescent="0.25">
      <c r="A70" s="1">
        <v>42979</v>
      </c>
      <c r="B70">
        <v>175.550003</v>
      </c>
      <c r="C70">
        <v>189.949997</v>
      </c>
      <c r="D70">
        <v>172.44000199999999</v>
      </c>
      <c r="E70">
        <v>181.35000600000001</v>
      </c>
      <c r="F70">
        <v>181.35000600000001</v>
      </c>
      <c r="G70">
        <v>111427900</v>
      </c>
    </row>
    <row r="71" spans="1:7" x14ac:dyDescent="0.25">
      <c r="A71" s="1">
        <v>43009</v>
      </c>
      <c r="B71">
        <v>182.11000100000001</v>
      </c>
      <c r="C71">
        <v>204.38000500000001</v>
      </c>
      <c r="D71">
        <v>176.58000200000001</v>
      </c>
      <c r="E71">
        <v>196.429993</v>
      </c>
      <c r="F71">
        <v>196.429993</v>
      </c>
      <c r="G71">
        <v>208657800</v>
      </c>
    </row>
    <row r="72" spans="1:7" x14ac:dyDescent="0.25">
      <c r="A72" s="1">
        <v>43040</v>
      </c>
      <c r="B72">
        <v>197.240005</v>
      </c>
      <c r="C72">
        <v>202.479996</v>
      </c>
      <c r="D72">
        <v>184.320007</v>
      </c>
      <c r="E72">
        <v>187.58000200000001</v>
      </c>
      <c r="F72">
        <v>187.58000200000001</v>
      </c>
      <c r="G72">
        <v>110996600</v>
      </c>
    </row>
    <row r="73" spans="1:7" x14ac:dyDescent="0.25">
      <c r="A73" s="1">
        <v>43070</v>
      </c>
      <c r="B73">
        <v>186.990005</v>
      </c>
      <c r="C73">
        <v>194.490005</v>
      </c>
      <c r="D73">
        <v>178.38000500000001</v>
      </c>
      <c r="E73">
        <v>191.96000699999999</v>
      </c>
      <c r="F73">
        <v>191.96000699999999</v>
      </c>
      <c r="G73">
        <v>115103700</v>
      </c>
    </row>
    <row r="74" spans="1:7" x14ac:dyDescent="0.25">
      <c r="A74" s="1">
        <v>43101</v>
      </c>
      <c r="B74">
        <v>196.10000600000001</v>
      </c>
      <c r="C74">
        <v>286.80999800000001</v>
      </c>
      <c r="D74">
        <v>195.41999799999999</v>
      </c>
      <c r="E74">
        <v>270.29998799999998</v>
      </c>
      <c r="F74">
        <v>270.29998799999998</v>
      </c>
      <c r="G74">
        <v>238377600</v>
      </c>
    </row>
    <row r="75" spans="1:7" x14ac:dyDescent="0.25">
      <c r="A75" s="1">
        <v>43132</v>
      </c>
      <c r="B75">
        <v>266.41000400000001</v>
      </c>
      <c r="C75">
        <v>297.35998499999999</v>
      </c>
      <c r="D75">
        <v>236.11000100000001</v>
      </c>
      <c r="E75">
        <v>291.38000499999998</v>
      </c>
      <c r="F75">
        <v>291.38000499999998</v>
      </c>
      <c r="G75">
        <v>184585800</v>
      </c>
    </row>
    <row r="76" spans="1:7" x14ac:dyDescent="0.25">
      <c r="A76" s="1">
        <v>43160</v>
      </c>
      <c r="B76">
        <v>292.75</v>
      </c>
      <c r="C76">
        <v>333.98001099999999</v>
      </c>
      <c r="D76">
        <v>275.89999399999999</v>
      </c>
      <c r="E76">
        <v>295.35000600000001</v>
      </c>
      <c r="F76">
        <v>295.35000600000001</v>
      </c>
      <c r="G76">
        <v>263449400</v>
      </c>
    </row>
    <row r="77" spans="1:7" x14ac:dyDescent="0.25">
      <c r="A77" s="1">
        <v>43191</v>
      </c>
      <c r="B77">
        <v>291.94000199999999</v>
      </c>
      <c r="C77">
        <v>338.82000699999998</v>
      </c>
      <c r="D77">
        <v>271.22000100000002</v>
      </c>
      <c r="E77">
        <v>312.459991</v>
      </c>
      <c r="F77">
        <v>312.459991</v>
      </c>
      <c r="G77">
        <v>262006000</v>
      </c>
    </row>
    <row r="78" spans="1:7" x14ac:dyDescent="0.25">
      <c r="A78" s="1">
        <v>43221</v>
      </c>
      <c r="B78">
        <v>310.35998499999999</v>
      </c>
      <c r="C78">
        <v>356.10000600000001</v>
      </c>
      <c r="D78">
        <v>305.73001099999999</v>
      </c>
      <c r="E78">
        <v>351.60000600000001</v>
      </c>
      <c r="F78">
        <v>351.60000600000001</v>
      </c>
      <c r="G78">
        <v>142050800</v>
      </c>
    </row>
    <row r="79" spans="1:7" x14ac:dyDescent="0.25">
      <c r="A79" s="1">
        <v>43252</v>
      </c>
      <c r="B79">
        <v>353.88000499999998</v>
      </c>
      <c r="C79">
        <v>423.209991</v>
      </c>
      <c r="D79">
        <v>352.82000699999998</v>
      </c>
      <c r="E79">
        <v>391.42999300000002</v>
      </c>
      <c r="F79">
        <v>391.42999300000002</v>
      </c>
      <c r="G79">
        <v>244031800</v>
      </c>
    </row>
    <row r="80" spans="1:7" x14ac:dyDescent="0.25">
      <c r="A80" s="1">
        <v>43282</v>
      </c>
      <c r="B80">
        <v>385.45001200000002</v>
      </c>
      <c r="C80">
        <v>419.76998900000001</v>
      </c>
      <c r="D80">
        <v>328</v>
      </c>
      <c r="E80">
        <v>337.45001200000002</v>
      </c>
      <c r="F80">
        <v>337.45001200000002</v>
      </c>
      <c r="G80">
        <v>305393800</v>
      </c>
    </row>
    <row r="81" spans="1:7" x14ac:dyDescent="0.25">
      <c r="A81" s="1">
        <v>43313</v>
      </c>
      <c r="B81">
        <v>335.86999500000002</v>
      </c>
      <c r="C81">
        <v>376.80999800000001</v>
      </c>
      <c r="D81">
        <v>310.92999300000002</v>
      </c>
      <c r="E81">
        <v>367.67999300000002</v>
      </c>
      <c r="F81">
        <v>367.67999300000002</v>
      </c>
      <c r="G81">
        <v>213122300</v>
      </c>
    </row>
    <row r="82" spans="1:7" x14ac:dyDescent="0.25">
      <c r="A82" s="1">
        <v>43344</v>
      </c>
      <c r="B82">
        <v>366.47000100000002</v>
      </c>
      <c r="C82">
        <v>383.20001200000002</v>
      </c>
      <c r="D82">
        <v>335.82998700000002</v>
      </c>
      <c r="E82">
        <v>374.13000499999998</v>
      </c>
      <c r="F82">
        <v>374.13000499999998</v>
      </c>
      <c r="G82">
        <v>170832100</v>
      </c>
    </row>
    <row r="83" spans="1:7" x14ac:dyDescent="0.25">
      <c r="A83" s="1">
        <v>43374</v>
      </c>
      <c r="B83">
        <v>375.85000600000001</v>
      </c>
      <c r="C83">
        <v>386.79998799999998</v>
      </c>
      <c r="D83">
        <v>271.209991</v>
      </c>
      <c r="E83">
        <v>301.77999899999998</v>
      </c>
      <c r="F83">
        <v>301.77999899999998</v>
      </c>
      <c r="G83">
        <v>363589800</v>
      </c>
    </row>
    <row r="84" spans="1:7" x14ac:dyDescent="0.25">
      <c r="A84" s="1">
        <v>43405</v>
      </c>
      <c r="B84">
        <v>304.58999599999999</v>
      </c>
      <c r="C84">
        <v>332.04998799999998</v>
      </c>
      <c r="D84">
        <v>250</v>
      </c>
      <c r="E84">
        <v>286.13000499999998</v>
      </c>
      <c r="F84">
        <v>286.13000499999998</v>
      </c>
      <c r="G84">
        <v>257126400</v>
      </c>
    </row>
    <row r="85" spans="1:7" x14ac:dyDescent="0.25">
      <c r="A85" s="1">
        <v>43435</v>
      </c>
      <c r="B85">
        <v>293.19000199999999</v>
      </c>
      <c r="C85">
        <v>298.72000100000002</v>
      </c>
      <c r="D85">
        <v>231.229996</v>
      </c>
      <c r="E85">
        <v>267.66000400000001</v>
      </c>
      <c r="F85">
        <v>267.66000400000001</v>
      </c>
      <c r="G85">
        <v>234310000</v>
      </c>
    </row>
    <row r="86" spans="1:7" x14ac:dyDescent="0.25">
      <c r="A86" s="1">
        <v>43466</v>
      </c>
      <c r="B86">
        <v>259.27999899999998</v>
      </c>
      <c r="C86">
        <v>358.85000600000001</v>
      </c>
      <c r="D86">
        <v>256.57998700000002</v>
      </c>
      <c r="E86">
        <v>339.5</v>
      </c>
      <c r="F86">
        <v>339.5</v>
      </c>
      <c r="G86">
        <v>306616400</v>
      </c>
    </row>
    <row r="87" spans="1:7" x14ac:dyDescent="0.25">
      <c r="A87" s="1">
        <v>43497</v>
      </c>
      <c r="B87">
        <v>337.17999300000002</v>
      </c>
      <c r="C87">
        <v>371.48998999999998</v>
      </c>
      <c r="D87">
        <v>336.5</v>
      </c>
      <c r="E87">
        <v>358.10000600000001</v>
      </c>
      <c r="F87">
        <v>358.10000600000001</v>
      </c>
      <c r="G87">
        <v>148192100</v>
      </c>
    </row>
    <row r="88" spans="1:7" x14ac:dyDescent="0.25">
      <c r="A88" s="1">
        <v>43525</v>
      </c>
      <c r="B88">
        <v>362.26001000000002</v>
      </c>
      <c r="C88">
        <v>379</v>
      </c>
      <c r="D88">
        <v>342.47000100000002</v>
      </c>
      <c r="E88">
        <v>356.55999800000001</v>
      </c>
      <c r="F88">
        <v>356.55999800000001</v>
      </c>
      <c r="G88">
        <v>144843100</v>
      </c>
    </row>
    <row r="89" spans="1:7" x14ac:dyDescent="0.25">
      <c r="A89" s="1">
        <v>43556</v>
      </c>
      <c r="B89">
        <v>359</v>
      </c>
      <c r="C89">
        <v>384.79998799999998</v>
      </c>
      <c r="D89">
        <v>342.26998900000001</v>
      </c>
      <c r="E89">
        <v>370.540009</v>
      </c>
      <c r="F89">
        <v>370.540009</v>
      </c>
      <c r="G89">
        <v>165079400</v>
      </c>
    </row>
    <row r="90" spans="1:7" x14ac:dyDescent="0.25">
      <c r="A90" s="1">
        <v>43586</v>
      </c>
      <c r="B90">
        <v>374</v>
      </c>
      <c r="C90">
        <v>385.98998999999998</v>
      </c>
      <c r="D90">
        <v>341.39001500000001</v>
      </c>
      <c r="E90">
        <v>343.27999899999998</v>
      </c>
      <c r="F90">
        <v>343.27999899999998</v>
      </c>
      <c r="G90">
        <v>125298300</v>
      </c>
    </row>
    <row r="91" spans="1:7" x14ac:dyDescent="0.25">
      <c r="A91" s="1">
        <v>43617</v>
      </c>
      <c r="B91">
        <v>343.55999800000001</v>
      </c>
      <c r="C91">
        <v>375</v>
      </c>
      <c r="D91">
        <v>332.64999399999999</v>
      </c>
      <c r="E91">
        <v>367.32000699999998</v>
      </c>
      <c r="F91">
        <v>367.32000699999998</v>
      </c>
      <c r="G91">
        <v>111052000</v>
      </c>
    </row>
    <row r="92" spans="1:7" x14ac:dyDescent="0.25">
      <c r="A92" s="1">
        <v>43647</v>
      </c>
      <c r="B92">
        <v>373.5</v>
      </c>
      <c r="C92">
        <v>384.76001000000002</v>
      </c>
      <c r="D92">
        <v>305.80999800000001</v>
      </c>
      <c r="E92">
        <v>322.98998999999998</v>
      </c>
      <c r="F92">
        <v>322.98998999999998</v>
      </c>
      <c r="G92">
        <v>196652500</v>
      </c>
    </row>
    <row r="93" spans="1:7" x14ac:dyDescent="0.25">
      <c r="A93" s="1">
        <v>43678</v>
      </c>
      <c r="B93">
        <v>324.25</v>
      </c>
      <c r="C93">
        <v>328.57998700000002</v>
      </c>
      <c r="D93">
        <v>287.20001200000002</v>
      </c>
      <c r="E93">
        <v>293.75</v>
      </c>
      <c r="F93">
        <v>293.75</v>
      </c>
      <c r="G93">
        <v>137076700</v>
      </c>
    </row>
    <row r="94" spans="1:7" x14ac:dyDescent="0.25">
      <c r="A94" s="1">
        <v>43709</v>
      </c>
      <c r="B94">
        <v>290.82000699999998</v>
      </c>
      <c r="C94">
        <v>301.54998799999998</v>
      </c>
      <c r="D94">
        <v>252.279999</v>
      </c>
      <c r="E94">
        <v>267.61999500000002</v>
      </c>
      <c r="F94">
        <v>267.61999500000002</v>
      </c>
      <c r="G94">
        <v>175411300</v>
      </c>
    </row>
    <row r="95" spans="1:7" x14ac:dyDescent="0.25">
      <c r="A95" s="1">
        <v>43739</v>
      </c>
      <c r="B95">
        <v>267.35000600000001</v>
      </c>
      <c r="C95">
        <v>308.75</v>
      </c>
      <c r="D95">
        <v>257.01001000000002</v>
      </c>
      <c r="E95">
        <v>287.41000400000001</v>
      </c>
      <c r="F95">
        <v>287.41000400000001</v>
      </c>
      <c r="G95">
        <v>231556400</v>
      </c>
    </row>
    <row r="96" spans="1:7" x14ac:dyDescent="0.25">
      <c r="A96" s="1">
        <v>43770</v>
      </c>
      <c r="B96">
        <v>288.70001200000002</v>
      </c>
      <c r="C96">
        <v>316.82000699999998</v>
      </c>
      <c r="D96">
        <v>281.14001500000001</v>
      </c>
      <c r="E96">
        <v>314.66000400000001</v>
      </c>
      <c r="F96">
        <v>314.66000400000001</v>
      </c>
      <c r="G96">
        <v>113645900</v>
      </c>
    </row>
    <row r="97" spans="1:7" x14ac:dyDescent="0.25">
      <c r="A97" s="1">
        <v>43800</v>
      </c>
      <c r="B97">
        <v>314.39001500000001</v>
      </c>
      <c r="C97">
        <v>338</v>
      </c>
      <c r="D97">
        <v>292.01998900000001</v>
      </c>
      <c r="E97">
        <v>323.57000699999998</v>
      </c>
      <c r="F97">
        <v>323.57000699999998</v>
      </c>
      <c r="G97">
        <v>124723600</v>
      </c>
    </row>
    <row r="98" spans="1:7" x14ac:dyDescent="0.25">
      <c r="A98" s="1">
        <v>43831</v>
      </c>
      <c r="B98">
        <v>326.10000600000001</v>
      </c>
      <c r="C98">
        <v>359.85000600000001</v>
      </c>
      <c r="D98">
        <v>321.20001200000002</v>
      </c>
      <c r="E98">
        <v>345.08999599999999</v>
      </c>
      <c r="F98">
        <v>345.08999599999999</v>
      </c>
      <c r="G98">
        <v>169874000</v>
      </c>
    </row>
    <row r="99" spans="1:7" x14ac:dyDescent="0.25">
      <c r="A99" s="1">
        <v>43862</v>
      </c>
      <c r="B99">
        <v>347.23998999999998</v>
      </c>
      <c r="C99">
        <v>392.95001200000002</v>
      </c>
      <c r="D99">
        <v>346.27999899999998</v>
      </c>
      <c r="E99">
        <v>369.02999899999998</v>
      </c>
      <c r="F99">
        <v>369.02999899999998</v>
      </c>
      <c r="G99">
        <v>114056000</v>
      </c>
    </row>
    <row r="100" spans="1:7" x14ac:dyDescent="0.25">
      <c r="A100" s="1">
        <v>43891</v>
      </c>
      <c r="B100">
        <v>373.10998499999999</v>
      </c>
      <c r="C100">
        <v>393.51998900000001</v>
      </c>
      <c r="D100">
        <v>290.25</v>
      </c>
      <c r="E100">
        <v>375.5</v>
      </c>
      <c r="F100">
        <v>375.5</v>
      </c>
      <c r="G100">
        <v>201979100</v>
      </c>
    </row>
    <row r="101" spans="1:7" x14ac:dyDescent="0.25">
      <c r="A101" s="1">
        <v>43922</v>
      </c>
      <c r="B101">
        <v>376.04998799999998</v>
      </c>
      <c r="C101">
        <v>449.51998900000001</v>
      </c>
      <c r="D101">
        <v>357.51001000000002</v>
      </c>
      <c r="E101">
        <v>419.85000600000001</v>
      </c>
      <c r="F101">
        <v>419.85000600000001</v>
      </c>
      <c r="G101">
        <v>225111600</v>
      </c>
    </row>
    <row r="102" spans="1:7" x14ac:dyDescent="0.25">
      <c r="A102" s="1">
        <v>43952</v>
      </c>
      <c r="B102">
        <v>415.10000600000001</v>
      </c>
      <c r="C102">
        <v>458.97000100000002</v>
      </c>
      <c r="D102">
        <v>397.85998499999999</v>
      </c>
      <c r="E102">
        <v>419.73001099999999</v>
      </c>
      <c r="F102">
        <v>419.73001099999999</v>
      </c>
      <c r="G102">
        <v>135055800</v>
      </c>
    </row>
    <row r="103" spans="1:7" x14ac:dyDescent="0.25">
      <c r="A103" s="1">
        <v>43983</v>
      </c>
      <c r="B103">
        <v>418.82998700000002</v>
      </c>
      <c r="C103">
        <v>474.01001000000002</v>
      </c>
      <c r="D103">
        <v>404.25</v>
      </c>
      <c r="E103">
        <v>455.040009</v>
      </c>
      <c r="F103">
        <v>455.040009</v>
      </c>
      <c r="G103">
        <v>117279900</v>
      </c>
    </row>
    <row r="104" spans="1:7" x14ac:dyDescent="0.25">
      <c r="A104" s="1">
        <v>44013</v>
      </c>
      <c r="B104">
        <v>454</v>
      </c>
      <c r="C104">
        <v>575.36999500000002</v>
      </c>
      <c r="D104">
        <v>454</v>
      </c>
      <c r="E104">
        <v>488.88000499999998</v>
      </c>
      <c r="F104">
        <v>488.88000499999998</v>
      </c>
      <c r="G104">
        <v>232206300</v>
      </c>
    </row>
    <row r="105" spans="1:7" x14ac:dyDescent="0.25">
      <c r="A105" s="1">
        <v>44044</v>
      </c>
      <c r="B105">
        <v>490.85998499999999</v>
      </c>
      <c r="C105">
        <v>549.03997800000002</v>
      </c>
      <c r="D105">
        <v>466.54998799999998</v>
      </c>
      <c r="E105">
        <v>529.55999799999995</v>
      </c>
      <c r="F105">
        <v>529.55999799999995</v>
      </c>
      <c r="G105">
        <v>116261900</v>
      </c>
    </row>
    <row r="106" spans="1:7" x14ac:dyDescent="0.25">
      <c r="A106" s="1">
        <v>44075</v>
      </c>
      <c r="B106">
        <v>532.59997599999997</v>
      </c>
      <c r="C106">
        <v>557.39001499999995</v>
      </c>
      <c r="D106">
        <v>458.60000600000001</v>
      </c>
      <c r="E106">
        <v>500.02999899999998</v>
      </c>
      <c r="F106">
        <v>500.02999899999998</v>
      </c>
      <c r="G106">
        <v>118796900</v>
      </c>
    </row>
    <row r="107" spans="1:7" x14ac:dyDescent="0.25">
      <c r="A107" s="1">
        <v>44105</v>
      </c>
      <c r="B107">
        <v>506.02999899999998</v>
      </c>
      <c r="C107">
        <v>572.48999000000003</v>
      </c>
      <c r="D107">
        <v>472.209991</v>
      </c>
      <c r="E107">
        <v>475.73998999999998</v>
      </c>
      <c r="F107">
        <v>475.73998999999998</v>
      </c>
      <c r="G107">
        <v>154302400</v>
      </c>
    </row>
    <row r="108" spans="1:7" x14ac:dyDescent="0.25">
      <c r="A108" s="1">
        <v>44136</v>
      </c>
      <c r="B108">
        <v>478.86999500000002</v>
      </c>
      <c r="C108">
        <v>518.72997999999995</v>
      </c>
      <c r="D108">
        <v>463.41000400000001</v>
      </c>
      <c r="E108">
        <v>490.70001200000002</v>
      </c>
      <c r="F108">
        <v>490.70001200000002</v>
      </c>
      <c r="G108">
        <v>91788900</v>
      </c>
    </row>
    <row r="109" spans="1:7" x14ac:dyDescent="0.25">
      <c r="A109" s="1">
        <v>44166</v>
      </c>
      <c r="B109">
        <v>492.33999599999999</v>
      </c>
      <c r="C109">
        <v>545.5</v>
      </c>
      <c r="D109">
        <v>491.290009</v>
      </c>
      <c r="E109">
        <v>540.72997999999995</v>
      </c>
      <c r="F109">
        <v>540.72997999999995</v>
      </c>
      <c r="G109">
        <v>77564100</v>
      </c>
    </row>
    <row r="110" spans="1:7" x14ac:dyDescent="0.25">
      <c r="A110" s="1">
        <v>44197</v>
      </c>
      <c r="B110">
        <v>539</v>
      </c>
      <c r="C110">
        <v>593.28997800000002</v>
      </c>
      <c r="D110">
        <v>485.67001299999998</v>
      </c>
      <c r="E110">
        <v>532.39001499999995</v>
      </c>
      <c r="F110">
        <v>532.39001499999995</v>
      </c>
      <c r="G110">
        <v>139988600</v>
      </c>
    </row>
    <row r="111" spans="1:7" x14ac:dyDescent="0.25">
      <c r="A111" s="1">
        <v>44228</v>
      </c>
      <c r="B111">
        <v>536.78997800000002</v>
      </c>
      <c r="C111">
        <v>566.65002400000003</v>
      </c>
      <c r="D111">
        <v>518.28002900000001</v>
      </c>
      <c r="E111">
        <v>538.84997599999997</v>
      </c>
      <c r="F111">
        <v>538.84997599999997</v>
      </c>
      <c r="G111">
        <v>61902300</v>
      </c>
    </row>
    <row r="112" spans="1:7" x14ac:dyDescent="0.25">
      <c r="A112" s="1">
        <v>44256</v>
      </c>
      <c r="B112">
        <v>545.57000700000003</v>
      </c>
      <c r="C112">
        <v>556.98999000000003</v>
      </c>
      <c r="D112">
        <v>492.85000600000001</v>
      </c>
      <c r="E112">
        <v>521.65997300000004</v>
      </c>
      <c r="F112">
        <v>521.65997300000004</v>
      </c>
      <c r="G112">
        <v>90183900</v>
      </c>
    </row>
    <row r="113" spans="1:7" x14ac:dyDescent="0.25">
      <c r="A113" s="1">
        <v>44287</v>
      </c>
      <c r="B113">
        <v>529.92999299999997</v>
      </c>
      <c r="C113">
        <v>563.55999799999995</v>
      </c>
      <c r="D113">
        <v>499</v>
      </c>
      <c r="E113">
        <v>513.46997099999999</v>
      </c>
      <c r="F113">
        <v>513.46997099999999</v>
      </c>
      <c r="G113">
        <v>111573300</v>
      </c>
    </row>
    <row r="114" spans="1:7" x14ac:dyDescent="0.25">
      <c r="A114" s="1">
        <v>44317</v>
      </c>
      <c r="B114">
        <v>512.65002400000003</v>
      </c>
      <c r="C114">
        <v>518.95001200000002</v>
      </c>
      <c r="D114">
        <v>478.540009</v>
      </c>
      <c r="E114">
        <v>502.80999800000001</v>
      </c>
      <c r="F114">
        <v>502.80999800000001</v>
      </c>
      <c r="G114">
        <v>66927600</v>
      </c>
    </row>
    <row r="115" spans="1:7" x14ac:dyDescent="0.25">
      <c r="A115" s="1">
        <v>44348</v>
      </c>
      <c r="B115">
        <v>504.01001000000002</v>
      </c>
      <c r="C115">
        <v>536.13000499999998</v>
      </c>
      <c r="D115">
        <v>482.14001500000001</v>
      </c>
      <c r="E115">
        <v>528.21002199999998</v>
      </c>
      <c r="F115">
        <v>528.21002199999998</v>
      </c>
      <c r="G115">
        <v>78560600</v>
      </c>
    </row>
    <row r="116" spans="1:7" x14ac:dyDescent="0.25">
      <c r="A116" s="1">
        <v>44378</v>
      </c>
      <c r="B116">
        <v>525.71997099999999</v>
      </c>
      <c r="C116">
        <v>557.53997800000002</v>
      </c>
      <c r="D116">
        <v>504.66000400000001</v>
      </c>
      <c r="E116">
        <v>517.57000700000003</v>
      </c>
      <c r="F116">
        <v>517.57000700000003</v>
      </c>
      <c r="G116">
        <v>77221200</v>
      </c>
    </row>
    <row r="117" spans="1:7" x14ac:dyDescent="0.25">
      <c r="A117" s="1">
        <v>44409</v>
      </c>
      <c r="B117">
        <v>519</v>
      </c>
      <c r="C117">
        <v>569.47997999999995</v>
      </c>
      <c r="D117">
        <v>505.36999500000002</v>
      </c>
      <c r="E117">
        <v>569.19000200000005</v>
      </c>
      <c r="F117">
        <v>569.19000200000005</v>
      </c>
      <c r="G117">
        <v>54747700</v>
      </c>
    </row>
    <row r="118" spans="1:7" x14ac:dyDescent="0.25">
      <c r="A118" s="1">
        <v>44440</v>
      </c>
      <c r="B118">
        <v>569</v>
      </c>
      <c r="C118">
        <v>619</v>
      </c>
      <c r="D118">
        <v>568.080017</v>
      </c>
      <c r="E118">
        <v>610.34002699999996</v>
      </c>
      <c r="F118">
        <v>610.34002699999996</v>
      </c>
      <c r="G118">
        <v>82317500</v>
      </c>
    </row>
    <row r="119" spans="1:7" x14ac:dyDescent="0.25">
      <c r="A119" s="1">
        <v>44470</v>
      </c>
      <c r="B119">
        <v>604.23999000000003</v>
      </c>
      <c r="C119">
        <v>690.96997099999999</v>
      </c>
      <c r="D119">
        <v>594.67999299999997</v>
      </c>
      <c r="E119">
        <v>690.30999799999995</v>
      </c>
      <c r="F119">
        <v>690.30999799999995</v>
      </c>
      <c r="G119">
        <v>98576300</v>
      </c>
    </row>
    <row r="120" spans="1:7" x14ac:dyDescent="0.25">
      <c r="A120" s="1">
        <v>44501</v>
      </c>
      <c r="B120">
        <v>689.05999799999995</v>
      </c>
      <c r="C120">
        <v>700.98999000000003</v>
      </c>
      <c r="D120">
        <v>640.01000999999997</v>
      </c>
      <c r="E120">
        <v>641.90002400000003</v>
      </c>
      <c r="F120">
        <v>641.90002400000003</v>
      </c>
      <c r="G120">
        <v>64530200</v>
      </c>
    </row>
    <row r="121" spans="1:7" x14ac:dyDescent="0.25">
      <c r="A121" s="1">
        <v>44531</v>
      </c>
      <c r="B121">
        <v>649.47997999999995</v>
      </c>
      <c r="C121">
        <v>654.52002000000005</v>
      </c>
      <c r="D121">
        <v>581.73999000000003</v>
      </c>
      <c r="E121">
        <v>602.44000200000005</v>
      </c>
      <c r="F121">
        <v>602.44000200000005</v>
      </c>
      <c r="G121">
        <v>59975300</v>
      </c>
    </row>
    <row r="122" spans="1:7" x14ac:dyDescent="0.25">
      <c r="A122" s="1">
        <v>44562</v>
      </c>
      <c r="B122">
        <v>605.60998500000005</v>
      </c>
      <c r="C122">
        <v>609.98999000000003</v>
      </c>
      <c r="D122">
        <v>351.459991</v>
      </c>
      <c r="E122">
        <v>427.14001500000001</v>
      </c>
      <c r="F122">
        <v>427.14001500000001</v>
      </c>
      <c r="G122">
        <v>241662000</v>
      </c>
    </row>
    <row r="123" spans="1:7" x14ac:dyDescent="0.25">
      <c r="A123" s="1">
        <v>44593</v>
      </c>
      <c r="B123">
        <v>432.959991</v>
      </c>
      <c r="C123">
        <v>458.48001099999999</v>
      </c>
      <c r="D123">
        <v>354.72000100000002</v>
      </c>
      <c r="E123">
        <v>394.51998900000001</v>
      </c>
      <c r="F123">
        <v>394.51998900000001</v>
      </c>
      <c r="G123">
        <v>151010700</v>
      </c>
    </row>
    <row r="124" spans="1:7" x14ac:dyDescent="0.25">
      <c r="A124" s="1">
        <v>44621</v>
      </c>
      <c r="B124">
        <v>391.60000600000001</v>
      </c>
      <c r="C124">
        <v>396.5</v>
      </c>
      <c r="D124">
        <v>329.82000699999998</v>
      </c>
      <c r="E124">
        <v>374.58999599999999</v>
      </c>
      <c r="F124">
        <v>374.58999599999999</v>
      </c>
      <c r="G124">
        <v>119491900</v>
      </c>
    </row>
    <row r="125" spans="1:7" x14ac:dyDescent="0.25">
      <c r="A125" s="1">
        <v>44652</v>
      </c>
      <c r="B125">
        <v>376.79998799999998</v>
      </c>
      <c r="C125">
        <v>396.01998900000001</v>
      </c>
      <c r="D125">
        <v>331.61999500000002</v>
      </c>
      <c r="E125">
        <v>348.60998499999999</v>
      </c>
      <c r="F125">
        <v>348.60998499999999</v>
      </c>
      <c r="G125">
        <v>68654300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dimension ref="A3:P37"/>
  <sheetViews>
    <sheetView topLeftCell="A7" workbookViewId="0">
      <selection activeCell="F44" sqref="F44"/>
    </sheetView>
  </sheetViews>
  <sheetFormatPr defaultColWidth="7.85546875" defaultRowHeight="15" x14ac:dyDescent="0.25"/>
  <cols>
    <col min="1" max="1" width="17.5703125" bestFit="1" customWidth="1"/>
    <col min="2" max="2" width="17.7109375" bestFit="1" customWidth="1"/>
    <col min="3" max="3" width="18.28515625" bestFit="1" customWidth="1"/>
    <col min="4" max="5" width="12.85546875" bestFit="1" customWidth="1"/>
    <col min="6" max="6" width="9.28515625" bestFit="1" customWidth="1"/>
    <col min="7" max="9" width="8" bestFit="1" customWidth="1"/>
    <col min="10" max="14" width="9" bestFit="1" customWidth="1"/>
    <col min="15" max="15" width="12.7109375" bestFit="1" customWidth="1"/>
    <col min="16" max="16" width="9.7109375" bestFit="1" customWidth="1"/>
  </cols>
  <sheetData>
    <row r="3" spans="1:16" x14ac:dyDescent="0.25">
      <c r="A3" s="2" t="s">
        <v>34</v>
      </c>
      <c r="B3" s="2" t="s">
        <v>35</v>
      </c>
      <c r="C3" s="3"/>
      <c r="D3" s="3"/>
      <c r="E3" s="3"/>
      <c r="F3" s="3"/>
      <c r="G3" s="3"/>
      <c r="H3" s="3"/>
      <c r="I3" s="3"/>
      <c r="J3" s="3"/>
      <c r="K3" s="3"/>
      <c r="L3" s="3"/>
      <c r="M3" s="3"/>
      <c r="N3" s="3"/>
      <c r="O3" s="3"/>
    </row>
    <row r="4" spans="1:16" x14ac:dyDescent="0.25">
      <c r="A4" s="2" t="s">
        <v>7</v>
      </c>
      <c r="B4" s="3" t="s">
        <v>21</v>
      </c>
      <c r="C4" s="3" t="s">
        <v>22</v>
      </c>
      <c r="D4" s="3" t="s">
        <v>23</v>
      </c>
      <c r="E4" s="3" t="s">
        <v>24</v>
      </c>
      <c r="F4" s="3" t="s">
        <v>25</v>
      </c>
      <c r="G4" s="3" t="s">
        <v>26</v>
      </c>
      <c r="H4" s="3" t="s">
        <v>27</v>
      </c>
      <c r="I4" s="3" t="s">
        <v>28</v>
      </c>
      <c r="J4" s="3" t="s">
        <v>29</v>
      </c>
      <c r="K4" s="3" t="s">
        <v>30</v>
      </c>
      <c r="L4" s="3" t="s">
        <v>31</v>
      </c>
      <c r="M4" s="3" t="s">
        <v>32</v>
      </c>
      <c r="N4" s="3" t="s">
        <v>33</v>
      </c>
      <c r="O4" s="3" t="s">
        <v>8</v>
      </c>
      <c r="P4" s="358" t="s">
        <v>49</v>
      </c>
    </row>
    <row r="5" spans="1:16" x14ac:dyDescent="0.25">
      <c r="A5" s="4" t="s">
        <v>19</v>
      </c>
      <c r="B5" s="360">
        <v>30.146842105263161</v>
      </c>
      <c r="C5" s="360">
        <v>28.316000000000003</v>
      </c>
      <c r="D5" s="360">
        <v>28.516500049999998</v>
      </c>
      <c r="E5" s="360">
        <v>27.236666666666661</v>
      </c>
      <c r="F5" s="360">
        <v>36.350475999999993</v>
      </c>
      <c r="G5" s="360">
        <v>45.513999800000008</v>
      </c>
      <c r="H5" s="360">
        <v>52.403684263157885</v>
      </c>
      <c r="I5" s="360">
        <v>63.191999649999993</v>
      </c>
      <c r="J5" s="360">
        <v>90.075237809523799</v>
      </c>
      <c r="K5" s="360">
        <v>104.13523823809525</v>
      </c>
      <c r="L5" s="360">
        <v>163.99904595238098</v>
      </c>
      <c r="M5" s="360">
        <v>221.97526142105261</v>
      </c>
      <c r="N5" s="360">
        <v>308.74199985000001</v>
      </c>
      <c r="O5" s="360">
        <v>92.096679057251905</v>
      </c>
      <c r="P5" s="360">
        <f>AVERAGE(B5:N5)</f>
        <v>92.354073215856943</v>
      </c>
    </row>
    <row r="6" spans="1:16" x14ac:dyDescent="0.25">
      <c r="A6" s="4" t="s">
        <v>20</v>
      </c>
      <c r="B6" s="360">
        <v>28.356315578947367</v>
      </c>
      <c r="C6" s="360">
        <v>27.321578842105257</v>
      </c>
      <c r="D6" s="360">
        <v>30.825000200000005</v>
      </c>
      <c r="E6" s="360">
        <v>27.704210684210526</v>
      </c>
      <c r="F6" s="360">
        <v>37.241578736842108</v>
      </c>
      <c r="G6" s="360">
        <v>43.078421157894738</v>
      </c>
      <c r="H6" s="360">
        <v>51.380499699999994</v>
      </c>
      <c r="I6" s="360">
        <v>64.113684473684216</v>
      </c>
      <c r="J6" s="360">
        <v>91.367894684210526</v>
      </c>
      <c r="K6" s="360">
        <v>107.92789426315791</v>
      </c>
      <c r="L6" s="360">
        <v>178.71947357894737</v>
      </c>
      <c r="M6" s="360">
        <v>240.06684226315792</v>
      </c>
      <c r="N6" s="360">
        <v>298.72947452631581</v>
      </c>
      <c r="O6" s="360">
        <v>93.943895602409654</v>
      </c>
      <c r="P6" s="360">
        <f t="shared" ref="P6:P16" si="0">AVERAGE(B6:N6)</f>
        <v>94.371759129959528</v>
      </c>
    </row>
    <row r="7" spans="1:16" x14ac:dyDescent="0.25">
      <c r="A7" s="4" t="s">
        <v>9</v>
      </c>
      <c r="B7" s="360">
        <v>29.258695478260876</v>
      </c>
      <c r="C7" s="360">
        <v>25.563043521739129</v>
      </c>
      <c r="D7" s="360">
        <v>32.194999500000002</v>
      </c>
      <c r="E7" s="360">
        <v>28.141000200000001</v>
      </c>
      <c r="F7" s="360">
        <v>38.985238428571428</v>
      </c>
      <c r="G7" s="360">
        <v>42.131818454545453</v>
      </c>
      <c r="H7" s="360">
        <v>53.384090818181811</v>
      </c>
      <c r="I7" s="360">
        <v>64.841304913043487</v>
      </c>
      <c r="J7" s="360">
        <v>92.899047380952396</v>
      </c>
      <c r="K7" s="360">
        <v>115.13381019047617</v>
      </c>
      <c r="L7" s="360">
        <v>152.5540910454545</v>
      </c>
      <c r="M7" s="360">
        <v>233.67434886956519</v>
      </c>
      <c r="N7" s="360">
        <v>295.74956608695658</v>
      </c>
      <c r="O7" s="360">
        <v>93.863741503496513</v>
      </c>
      <c r="P7" s="360">
        <f t="shared" si="0"/>
        <v>92.65469652982668</v>
      </c>
    </row>
    <row r="8" spans="1:16" x14ac:dyDescent="0.25">
      <c r="A8" s="4" t="s">
        <v>10</v>
      </c>
      <c r="B8" s="360">
        <v>30.522857333333334</v>
      </c>
      <c r="C8" s="360">
        <v>25.779499999999995</v>
      </c>
      <c r="D8" s="360">
        <v>31.505499900000007</v>
      </c>
      <c r="E8" s="360">
        <v>29.870909363636368</v>
      </c>
      <c r="F8" s="360">
        <v>40.134285380952385</v>
      </c>
      <c r="G8" s="360">
        <v>43.466666428571422</v>
      </c>
      <c r="H8" s="360">
        <v>54.054285571428572</v>
      </c>
      <c r="I8" s="360">
        <v>66.171579421052613</v>
      </c>
      <c r="J8" s="360">
        <v>93.214761714285714</v>
      </c>
      <c r="K8" s="360">
        <v>122.79476233333335</v>
      </c>
      <c r="L8" s="360">
        <v>169.03952466666669</v>
      </c>
      <c r="M8" s="360">
        <v>255.57999823809527</v>
      </c>
      <c r="N8" s="360">
        <v>296.78800050000001</v>
      </c>
      <c r="O8" s="360">
        <v>88.853088776061796</v>
      </c>
      <c r="P8" s="360">
        <f t="shared" si="0"/>
        <v>96.840202373181214</v>
      </c>
    </row>
    <row r="9" spans="1:16" x14ac:dyDescent="0.25">
      <c r="A9" s="4" t="s">
        <v>11</v>
      </c>
      <c r="B9" s="360">
        <v>28.117000050000009</v>
      </c>
      <c r="C9" s="360">
        <v>25.063809666666668</v>
      </c>
      <c r="D9" s="360">
        <v>30.226363409090911</v>
      </c>
      <c r="E9" s="360">
        <v>33.950909409090904</v>
      </c>
      <c r="F9" s="360">
        <v>39.919999523809523</v>
      </c>
      <c r="G9" s="360">
        <v>47.530000149999999</v>
      </c>
      <c r="H9" s="360">
        <v>50.969523476190467</v>
      </c>
      <c r="I9" s="360">
        <v>68.917273090909106</v>
      </c>
      <c r="J9" s="360">
        <v>96.981363909090931</v>
      </c>
      <c r="K9" s="360">
        <v>126.34636299999998</v>
      </c>
      <c r="L9" s="360">
        <v>182.34249965000004</v>
      </c>
      <c r="M9" s="360">
        <v>247.395498</v>
      </c>
      <c r="N9" s="360"/>
      <c r="O9" s="360">
        <v>80.569209268774699</v>
      </c>
      <c r="P9" s="360">
        <f>AVERAGE(B9:N9)</f>
        <v>81.480050277904041</v>
      </c>
    </row>
    <row r="10" spans="1:16" x14ac:dyDescent="0.25">
      <c r="A10" s="4" t="s">
        <v>12</v>
      </c>
      <c r="B10" s="360">
        <v>25.42045472727273</v>
      </c>
      <c r="C10" s="360">
        <v>24.451363409090906</v>
      </c>
      <c r="D10" s="360">
        <v>29.680476285714278</v>
      </c>
      <c r="E10" s="360">
        <v>34.632500050000004</v>
      </c>
      <c r="F10" s="360">
        <v>41.36190514285714</v>
      </c>
      <c r="G10" s="360">
        <v>45.964090954545455</v>
      </c>
      <c r="H10" s="360">
        <v>50.919999954545453</v>
      </c>
      <c r="I10" s="360">
        <v>70.518181636363636</v>
      </c>
      <c r="J10" s="360">
        <v>100.56190452380952</v>
      </c>
      <c r="K10" s="360">
        <v>131.99400065000003</v>
      </c>
      <c r="L10" s="360">
        <v>192.69954672727272</v>
      </c>
      <c r="M10" s="360">
        <v>259.01818086363642</v>
      </c>
      <c r="N10" s="360"/>
      <c r="O10" s="360">
        <v>84.256965062256796</v>
      </c>
      <c r="P10" s="360">
        <f t="shared" si="0"/>
        <v>83.935217077092361</v>
      </c>
    </row>
    <row r="11" spans="1:16" x14ac:dyDescent="0.25">
      <c r="A11" s="4" t="s">
        <v>13</v>
      </c>
      <c r="B11" s="360">
        <v>25.074285666666665</v>
      </c>
      <c r="C11" s="360">
        <v>26.969000000000001</v>
      </c>
      <c r="D11" s="360">
        <v>29.75714285714286</v>
      </c>
      <c r="E11" s="360">
        <v>33.650454181818191</v>
      </c>
      <c r="F11" s="360">
        <v>43.21454559090909</v>
      </c>
      <c r="G11" s="360">
        <v>45.61181818181818</v>
      </c>
      <c r="H11" s="360">
        <v>54.101999650000018</v>
      </c>
      <c r="I11" s="360">
        <v>72.010500349999987</v>
      </c>
      <c r="J11" s="360">
        <v>104.63857309523809</v>
      </c>
      <c r="K11" s="360">
        <v>138.10272704545457</v>
      </c>
      <c r="L11" s="360">
        <v>207.08045472727269</v>
      </c>
      <c r="M11" s="360">
        <v>281.50238476190475</v>
      </c>
      <c r="N11" s="360"/>
      <c r="O11" s="360">
        <v>89.017992551181109</v>
      </c>
      <c r="P11" s="360">
        <f t="shared" si="0"/>
        <v>88.476157175685429</v>
      </c>
    </row>
    <row r="12" spans="1:16" x14ac:dyDescent="0.25">
      <c r="A12" s="4" t="s">
        <v>14</v>
      </c>
      <c r="B12" s="360">
        <v>24.706818272727276</v>
      </c>
      <c r="C12" s="360">
        <v>25.39478260869565</v>
      </c>
      <c r="D12" s="360">
        <v>30.357391347826088</v>
      </c>
      <c r="E12" s="360">
        <v>32.484999954545458</v>
      </c>
      <c r="F12" s="360">
        <v>44.260000571428584</v>
      </c>
      <c r="G12" s="360">
        <v>45.50666723809524</v>
      </c>
      <c r="H12" s="360">
        <v>57.7173908695652</v>
      </c>
      <c r="I12" s="360">
        <v>72.816957652173912</v>
      </c>
      <c r="J12" s="360">
        <v>108.68434747826085</v>
      </c>
      <c r="K12" s="360">
        <v>136.37636295454547</v>
      </c>
      <c r="L12" s="360">
        <v>214.35333319047618</v>
      </c>
      <c r="M12" s="360">
        <v>294.31408963636369</v>
      </c>
      <c r="N12" s="360"/>
      <c r="O12" s="360">
        <v>89.865639052631565</v>
      </c>
      <c r="P12" s="360">
        <f t="shared" si="0"/>
        <v>90.581095147891972</v>
      </c>
    </row>
    <row r="13" spans="1:16" x14ac:dyDescent="0.25">
      <c r="A13" s="4" t="s">
        <v>15</v>
      </c>
      <c r="B13" s="360">
        <v>24.594762142857142</v>
      </c>
      <c r="C13" s="360">
        <v>25.969047428571429</v>
      </c>
      <c r="D13" s="360">
        <v>30.782105263157888</v>
      </c>
      <c r="E13" s="360">
        <v>32.523499900000004</v>
      </c>
      <c r="F13" s="360">
        <v>46.41238104761905</v>
      </c>
      <c r="G13" s="360">
        <v>43.561428619047625</v>
      </c>
      <c r="H13" s="360">
        <v>57.289523523809521</v>
      </c>
      <c r="I13" s="360">
        <v>74.344500699999998</v>
      </c>
      <c r="J13" s="360">
        <v>112.23789457894736</v>
      </c>
      <c r="K13" s="360">
        <v>138.11550129999998</v>
      </c>
      <c r="L13" s="360">
        <v>208.80714266666664</v>
      </c>
      <c r="M13" s="360">
        <v>296.87428357142852</v>
      </c>
      <c r="N13" s="360"/>
      <c r="O13" s="360">
        <v>91.390734628571451</v>
      </c>
      <c r="P13" s="360">
        <f t="shared" si="0"/>
        <v>90.959339228508767</v>
      </c>
    </row>
    <row r="14" spans="1:16" x14ac:dyDescent="0.25">
      <c r="A14" s="4" t="s">
        <v>16</v>
      </c>
      <c r="B14" s="360">
        <v>25.181904761904764</v>
      </c>
      <c r="C14" s="360">
        <v>26.703333238095233</v>
      </c>
      <c r="D14" s="360">
        <v>29.066190619047614</v>
      </c>
      <c r="E14" s="360">
        <v>34.38217395652174</v>
      </c>
      <c r="F14" s="360">
        <v>45.196087260869568</v>
      </c>
      <c r="G14" s="360">
        <v>48.700908863636364</v>
      </c>
      <c r="H14" s="360">
        <v>58.397618809523799</v>
      </c>
      <c r="I14" s="360">
        <v>77.939545772727286</v>
      </c>
      <c r="J14" s="360">
        <v>109.20739147826085</v>
      </c>
      <c r="K14" s="360">
        <v>139.22913056521739</v>
      </c>
      <c r="L14" s="360">
        <v>212.8904551818182</v>
      </c>
      <c r="M14" s="360">
        <v>303.54238309523805</v>
      </c>
      <c r="N14" s="360"/>
      <c r="O14" s="360">
        <v>92.451483163498054</v>
      </c>
      <c r="P14" s="360">
        <f t="shared" si="0"/>
        <v>92.536426966905083</v>
      </c>
    </row>
    <row r="15" spans="1:16" x14ac:dyDescent="0.25">
      <c r="A15" s="4" t="s">
        <v>17</v>
      </c>
      <c r="B15" s="360">
        <v>26.198095380952378</v>
      </c>
      <c r="C15" s="360">
        <v>25.828095333333334</v>
      </c>
      <c r="D15" s="360">
        <v>27.811904809523806</v>
      </c>
      <c r="E15" s="360">
        <v>37.362499999999997</v>
      </c>
      <c r="F15" s="360">
        <v>48.405263473684215</v>
      </c>
      <c r="G15" s="360">
        <v>53.884999900000004</v>
      </c>
      <c r="H15" s="360">
        <v>59.925237714285721</v>
      </c>
      <c r="I15" s="360">
        <v>83.717618999999999</v>
      </c>
      <c r="J15" s="360">
        <v>107.29809604761903</v>
      </c>
      <c r="K15" s="360">
        <v>148.09550025000001</v>
      </c>
      <c r="L15" s="360">
        <v>214.13899919999994</v>
      </c>
      <c r="M15" s="360">
        <v>335.87094990476191</v>
      </c>
      <c r="N15" s="360"/>
      <c r="O15" s="360">
        <v>97.516219329268324</v>
      </c>
      <c r="P15" s="360">
        <f t="shared" si="0"/>
        <v>97.378105084513365</v>
      </c>
    </row>
    <row r="16" spans="1:16" x14ac:dyDescent="0.25">
      <c r="A16" s="4" t="s">
        <v>18</v>
      </c>
      <c r="B16" s="360">
        <v>27.549999999999997</v>
      </c>
      <c r="C16" s="360">
        <v>25.713333476190471</v>
      </c>
      <c r="D16" s="360">
        <v>26.965999849999996</v>
      </c>
      <c r="E16" s="360">
        <v>37.455714523809533</v>
      </c>
      <c r="F16" s="360">
        <v>47.493181954545456</v>
      </c>
      <c r="G16" s="360">
        <v>55.395909363636356</v>
      </c>
      <c r="H16" s="360">
        <v>62.118095428571415</v>
      </c>
      <c r="I16" s="360">
        <v>84.758500249999997</v>
      </c>
      <c r="J16" s="360">
        <v>104.39368347368421</v>
      </c>
      <c r="K16" s="360">
        <v>154.17952480952385</v>
      </c>
      <c r="L16" s="360">
        <v>217.96318122727268</v>
      </c>
      <c r="M16" s="360">
        <v>332.80772949999994</v>
      </c>
      <c r="N16" s="360"/>
      <c r="O16" s="360">
        <v>99.104308561264816</v>
      </c>
      <c r="P16" s="360">
        <f t="shared" si="0"/>
        <v>98.066237821436161</v>
      </c>
    </row>
    <row r="17" spans="1:15" x14ac:dyDescent="0.25">
      <c r="A17" s="4" t="s">
        <v>8</v>
      </c>
      <c r="B17" s="3">
        <v>27.058571468253973</v>
      </c>
      <c r="C17" s="3">
        <v>26.052341253968262</v>
      </c>
      <c r="D17" s="3">
        <v>29.820959963999993</v>
      </c>
      <c r="E17" s="3">
        <v>32.491904825396837</v>
      </c>
      <c r="F17" s="3">
        <v>42.453492154761904</v>
      </c>
      <c r="G17" s="3">
        <v>46.714285773809472</v>
      </c>
      <c r="H17" s="3">
        <v>55.259325198412704</v>
      </c>
      <c r="I17" s="3">
        <v>71.984024231075679</v>
      </c>
      <c r="J17" s="3">
        <v>101.03398412749002</v>
      </c>
      <c r="K17" s="3">
        <v>130.38202401190472</v>
      </c>
      <c r="L17" s="3">
        <v>193.02612643082992</v>
      </c>
      <c r="M17" s="3">
        <v>275.94075375000006</v>
      </c>
      <c r="N17" s="3">
        <v>300.28916719444447</v>
      </c>
      <c r="O17" s="3">
        <v>91.076647306821869</v>
      </c>
    </row>
    <row r="18" spans="1:15" x14ac:dyDescent="0.25">
      <c r="B18" s="5">
        <f t="shared" ref="B18:M18" si="1">(GETPIVOTDATA("Close",$A$3,"Date",12,"Years",B4)-GETPIVOTDATA("Close",$A$3,"Date",1,"Years",B4))/GETPIVOTDATA("Close",$A$3,"Date",1,"Years",B4)</f>
        <v>-8.6139771993226338E-2</v>
      </c>
      <c r="C18" s="5">
        <f t="shared" si="1"/>
        <v>-9.1915048870233496E-2</v>
      </c>
      <c r="D18" s="5">
        <f t="shared" si="1"/>
        <v>-5.4372037146262694E-2</v>
      </c>
      <c r="E18" s="5">
        <f t="shared" si="1"/>
        <v>0.37519451194992809</v>
      </c>
      <c r="F18" s="5">
        <f t="shared" si="1"/>
        <v>0.30653535195922782</v>
      </c>
      <c r="G18" s="5">
        <f t="shared" si="1"/>
        <v>0.21711802098387201</v>
      </c>
      <c r="H18" s="5">
        <f t="shared" si="1"/>
        <v>0.18537649216857052</v>
      </c>
      <c r="I18" s="5">
        <f t="shared" si="1"/>
        <v>0.3412853006622652</v>
      </c>
      <c r="J18" s="5">
        <f t="shared" si="1"/>
        <v>0.15896095322488835</v>
      </c>
      <c r="K18" s="5">
        <f t="shared" si="1"/>
        <v>0.4805701453047731</v>
      </c>
      <c r="L18" s="5">
        <f t="shared" si="1"/>
        <v>0.329051519547015</v>
      </c>
      <c r="M18" s="5">
        <f t="shared" si="1"/>
        <v>0.49930099133306277</v>
      </c>
      <c r="N18" s="5">
        <f>(GETPIVOTDATA("Close",$A$3,"Date",4,"Years",2022)-GETPIVOTDATA("Close",$A$3,"Date",1,"Years",2022))/GETPIVOTDATA("Close",$A$3,"Date",1,"Years",2022)</f>
        <v>-3.8718410050487997E-2</v>
      </c>
      <c r="O18" s="6">
        <f>(GETPIVOTDATA("Close",$A$3,"Date",4,"Years",2022)-GETPIVOTDATA("Close",$A$3,"Date",1,"Years",2010))/GETPIVOTDATA("Close",$A$3,"Date",1,"Years",2010)</f>
        <v>8.8447459094956269</v>
      </c>
    </row>
    <row r="25" spans="1:15" x14ac:dyDescent="0.25">
      <c r="A25" s="354" t="s">
        <v>0</v>
      </c>
      <c r="B25" s="354" t="s">
        <v>533</v>
      </c>
      <c r="C25" s="354" t="s">
        <v>541</v>
      </c>
      <c r="D25" s="354" t="s">
        <v>537</v>
      </c>
      <c r="E25" s="354" t="s">
        <v>534</v>
      </c>
      <c r="F25" s="354" t="s">
        <v>540</v>
      </c>
      <c r="G25" s="354" t="s">
        <v>538</v>
      </c>
      <c r="J25" t="s">
        <v>80</v>
      </c>
      <c r="K25" t="s">
        <v>81</v>
      </c>
    </row>
    <row r="26" spans="1:15" x14ac:dyDescent="0.25">
      <c r="A26" s="355">
        <v>43921</v>
      </c>
      <c r="B26" s="21">
        <v>15766</v>
      </c>
      <c r="C26" s="361">
        <f>(Table17[[#This Row],[New Subscribers]]-$J$26)/($K$26-$J$26)</f>
        <v>0.44622468261783726</v>
      </c>
      <c r="D26" s="21">
        <v>181703</v>
      </c>
      <c r="E26" s="353">
        <f t="shared" ref="E26:E36" si="2">GETPIVOTDATA("Close",$A$3,"Date",MONTH(A26),"Years",YEAR(A26))</f>
        <v>152.5540910454545</v>
      </c>
      <c r="F26" s="361">
        <f>(Table17[[#This Row],[Total Subscribers]]-$J$27)/($K$27-$J$27)</f>
        <v>0</v>
      </c>
      <c r="G26" s="357"/>
      <c r="I26" t="s">
        <v>539</v>
      </c>
      <c r="J26">
        <f>MIN(Table17[New Subscribers])</f>
        <v>-1000</v>
      </c>
      <c r="K26">
        <f>MAX(Table17[New Subscribers])</f>
        <v>36573</v>
      </c>
    </row>
    <row r="27" spans="1:15" x14ac:dyDescent="0.25">
      <c r="A27" s="355">
        <v>44012</v>
      </c>
      <c r="B27" s="21">
        <v>10091</v>
      </c>
      <c r="C27" s="361">
        <f>(Table17[[#This Row],[New Subscribers]]-$J$26)/($K$26-$J$26)</f>
        <v>0.2951853724749155</v>
      </c>
      <c r="D27" s="21">
        <v>191480</v>
      </c>
      <c r="E27" s="353">
        <f t="shared" si="2"/>
        <v>192.69954672727272</v>
      </c>
      <c r="F27" s="361">
        <f>(Table17[[#This Row],[Total Subscribers]]-$J$27)/($K$27-$J$27)</f>
        <v>0.2428706279809221</v>
      </c>
      <c r="G27" s="359">
        <f>Table17[[#This Row],[Total Subscribers]]/D26-1</f>
        <v>5.3807587106431853E-2</v>
      </c>
      <c r="I27" t="s">
        <v>265</v>
      </c>
      <c r="J27">
        <f>MIN(Table17[Total Subscribers])</f>
        <v>181703</v>
      </c>
      <c r="K27">
        <f>MAX(Table17[Total Subscribers])</f>
        <v>221959</v>
      </c>
    </row>
    <row r="28" spans="1:15" x14ac:dyDescent="0.25">
      <c r="A28" s="355">
        <v>44104</v>
      </c>
      <c r="B28" s="21">
        <v>2204</v>
      </c>
      <c r="C28" s="361">
        <f>(Table17[[#This Row],[New Subscribers]]-$J$26)/($K$26-$J$26)</f>
        <v>8.527399994677029E-2</v>
      </c>
      <c r="D28" s="21">
        <v>195063</v>
      </c>
      <c r="E28" s="353">
        <f t="shared" si="2"/>
        <v>208.80714266666664</v>
      </c>
      <c r="F28" s="361">
        <f>(Table17[[#This Row],[Total Subscribers]]-$J$27)/($K$27-$J$27)</f>
        <v>0.33187599364069953</v>
      </c>
      <c r="G28" s="359">
        <f>Table17[[#This Row],[Total Subscribers]]/D27-1</f>
        <v>1.8712137037810717E-2</v>
      </c>
    </row>
    <row r="29" spans="1:15" x14ac:dyDescent="0.25">
      <c r="A29" s="355">
        <v>44196</v>
      </c>
      <c r="B29" s="21">
        <v>8512</v>
      </c>
      <c r="C29" s="361">
        <f>(Table17[[#This Row],[New Subscribers]]-$J$26)/($K$26-$J$26)</f>
        <v>0.25316051419902591</v>
      </c>
      <c r="D29" s="21">
        <v>203236</v>
      </c>
      <c r="E29" s="353">
        <f t="shared" si="2"/>
        <v>217.96318122727268</v>
      </c>
      <c r="F29" s="361">
        <f>(Table17[[#This Row],[Total Subscribers]]-$J$27)/($K$27-$J$27)</f>
        <v>0.53490162957074727</v>
      </c>
      <c r="G29" s="359">
        <f>Table17[[#This Row],[Total Subscribers]]/D28-1</f>
        <v>4.1899283821124511E-2</v>
      </c>
    </row>
    <row r="30" spans="1:15" x14ac:dyDescent="0.25">
      <c r="A30" s="355">
        <v>44196</v>
      </c>
      <c r="B30" s="21">
        <v>36573</v>
      </c>
      <c r="C30" s="361">
        <f>(Table17[[#This Row],[New Subscribers]]-$J$26)/($K$26-$J$26)</f>
        <v>1</v>
      </c>
      <c r="D30" s="21">
        <v>201416</v>
      </c>
      <c r="E30" s="353">
        <f t="shared" si="2"/>
        <v>217.96318122727268</v>
      </c>
      <c r="F30" s="361">
        <f>(Table17[[#This Row],[Total Subscribers]]-$J$27)/($K$27-$J$27)</f>
        <v>0.48969097774244835</v>
      </c>
      <c r="G30" s="359">
        <f>Table17[[#This Row],[Total Subscribers]]/D29-1</f>
        <v>-8.9551063787911556E-3</v>
      </c>
    </row>
    <row r="31" spans="1:15" x14ac:dyDescent="0.25">
      <c r="A31" s="355">
        <v>44286</v>
      </c>
      <c r="B31" s="21">
        <v>3976</v>
      </c>
      <c r="C31" s="361">
        <f>(Table17[[#This Row],[New Subscribers]]-$J$26)/($K$26-$J$26)</f>
        <v>0.13243552551033988</v>
      </c>
      <c r="D31" s="21">
        <v>207415</v>
      </c>
      <c r="E31" s="353">
        <f t="shared" si="2"/>
        <v>233.67434886956519</v>
      </c>
      <c r="F31" s="361">
        <f>(Table17[[#This Row],[Total Subscribers]]-$J$27)/($K$27-$J$27)</f>
        <v>0.63871224165341811</v>
      </c>
      <c r="G31" s="359">
        <f>Table17[[#This Row],[Total Subscribers]]/D30-1</f>
        <v>2.9784128371132423E-2</v>
      </c>
    </row>
    <row r="32" spans="1:15" x14ac:dyDescent="0.25">
      <c r="A32" s="355">
        <v>44377</v>
      </c>
      <c r="B32" s="21">
        <v>1541</v>
      </c>
      <c r="C32" s="361">
        <f>(Table17[[#This Row],[New Subscribers]]-$J$26)/($K$26-$J$26)</f>
        <v>6.7628350145050961E-2</v>
      </c>
      <c r="D32" s="21">
        <v>209397</v>
      </c>
      <c r="E32" s="353">
        <f t="shared" si="2"/>
        <v>259.01818086363642</v>
      </c>
      <c r="F32" s="361">
        <f>(Table17[[#This Row],[Total Subscribers]]-$J$27)/($K$27-$J$27)</f>
        <v>0.68794713831478538</v>
      </c>
      <c r="G32" s="359">
        <f>Table17[[#This Row],[Total Subscribers]]/D31-1</f>
        <v>9.5557216209050111E-3</v>
      </c>
    </row>
    <row r="33" spans="1:7" x14ac:dyDescent="0.25">
      <c r="A33" s="355">
        <v>44469</v>
      </c>
      <c r="B33" s="21">
        <v>4383</v>
      </c>
      <c r="C33" s="361">
        <f>(Table17[[#This Row],[New Subscribers]]-$J$26)/($K$26-$J$26)</f>
        <v>0.14326777207036967</v>
      </c>
      <c r="D33" s="21">
        <v>213527</v>
      </c>
      <c r="E33" s="353">
        <f t="shared" si="2"/>
        <v>296.87428357142852</v>
      </c>
      <c r="F33" s="361">
        <f>(Table17[[#This Row],[Total Subscribers]]-$J$27)/($K$27-$J$27)</f>
        <v>0.79054054054054057</v>
      </c>
      <c r="G33" s="359">
        <f>Table17[[#This Row],[Total Subscribers]]/D32-1</f>
        <v>1.9723300715865033E-2</v>
      </c>
    </row>
    <row r="34" spans="1:7" x14ac:dyDescent="0.25">
      <c r="A34" s="355">
        <v>44561</v>
      </c>
      <c r="B34" s="21">
        <v>8281</v>
      </c>
      <c r="C34" s="361">
        <f>(Table17[[#This Row],[New Subscribers]]-$J$26)/($K$26-$J$26)</f>
        <v>0.24701248236765763</v>
      </c>
      <c r="D34" s="21">
        <v>221249</v>
      </c>
      <c r="E34" s="353">
        <f t="shared" si="2"/>
        <v>332.80772949999994</v>
      </c>
      <c r="F34" s="361">
        <f>(Table17[[#This Row],[Total Subscribers]]-$J$27)/($K$27-$J$27)</f>
        <v>0.98236287758346585</v>
      </c>
      <c r="G34" s="359">
        <f>Table17[[#This Row],[Total Subscribers]]/D33-1</f>
        <v>3.6164044828054465E-2</v>
      </c>
    </row>
    <row r="35" spans="1:7" x14ac:dyDescent="0.25">
      <c r="A35" s="355">
        <v>44561</v>
      </c>
      <c r="B35" s="21">
        <v>18181</v>
      </c>
      <c r="C35" s="361">
        <f>(Table17[[#This Row],[New Subscribers]]-$J$26)/($K$26-$J$26)</f>
        <v>0.51049956085486914</v>
      </c>
      <c r="D35" s="21">
        <v>220863</v>
      </c>
      <c r="E35" s="353">
        <f t="shared" si="2"/>
        <v>332.80772949999994</v>
      </c>
      <c r="F35" s="361">
        <f>(Table17[[#This Row],[Total Subscribers]]-$J$27)/($K$27-$J$27)</f>
        <v>0.9727742448330684</v>
      </c>
      <c r="G35" s="359">
        <f>Table17[[#This Row],[Total Subscribers]]/D34-1</f>
        <v>-1.7446406537430237E-3</v>
      </c>
    </row>
    <row r="36" spans="1:7" x14ac:dyDescent="0.25">
      <c r="A36" s="355">
        <v>44651</v>
      </c>
      <c r="B36" s="21">
        <v>-203</v>
      </c>
      <c r="C36" s="361">
        <f>(Table17[[#This Row],[New Subscribers]]-$J$26)/($K$26-$J$26)</f>
        <v>2.1212040561041173E-2</v>
      </c>
      <c r="D36" s="21">
        <v>221959</v>
      </c>
      <c r="E36" s="353">
        <f t="shared" si="2"/>
        <v>295.74956608695658</v>
      </c>
      <c r="F36" s="361">
        <f>(Table17[[#This Row],[Total Subscribers]]-$J$27)/($K$27-$J$27)</f>
        <v>1</v>
      </c>
      <c r="G36" s="359">
        <f>Table17[[#This Row],[Total Subscribers]]/D35-1</f>
        <v>4.9623522273989362E-3</v>
      </c>
    </row>
    <row r="37" spans="1:7" x14ac:dyDescent="0.25">
      <c r="A37" s="356">
        <v>44675</v>
      </c>
      <c r="B37" s="21">
        <v>-1000</v>
      </c>
      <c r="C37" s="361">
        <f>(Table17[[#This Row],[New Subscribers]]-$J$26)/($K$26-$J$26)</f>
        <v>0</v>
      </c>
      <c r="D37" s="21">
        <f>D36+Table17[[#This Row],[New Subscribers]]</f>
        <v>220959</v>
      </c>
      <c r="E37" s="353">
        <v>218</v>
      </c>
      <c r="F37" s="361">
        <f>(Table17[[#This Row],[Total Subscribers]]-$J$27)/($K$27-$J$27)</f>
        <v>0.97515898251192368</v>
      </c>
      <c r="G37" s="359">
        <f>Table17[[#This Row],[Total Subscribers]]/D36-1</f>
        <v>-4.5053365711685833E-3</v>
      </c>
    </row>
  </sheetData>
  <phoneticPr fontId="45" type="noConversion"/>
  <conditionalFormatting sqref="B18:N18">
    <cfRule type="colorScale" priority="17">
      <colorScale>
        <cfvo type="min"/>
        <cfvo type="percentile" val="50"/>
        <cfvo type="max"/>
        <color rgb="FFF8696B"/>
        <color rgb="FFFFEB84"/>
        <color rgb="FF63BE7B"/>
      </colorScale>
    </cfRule>
  </conditionalFormatting>
  <conditionalFormatting sqref="G27:G37">
    <cfRule type="colorScale" priority="15">
      <colorScale>
        <cfvo type="min"/>
        <cfvo type="percentile" val="50"/>
        <cfvo type="max"/>
        <color rgb="FFF8696B"/>
        <color rgb="FFFFEB84"/>
        <color rgb="FF63BE7B"/>
      </colorScale>
    </cfRule>
  </conditionalFormatting>
  <conditionalFormatting sqref="P5:P16">
    <cfRule type="colorScale" priority="14">
      <colorScale>
        <cfvo type="min"/>
        <cfvo type="percentile" val="50"/>
        <cfvo type="max"/>
        <color rgb="FFF8696B"/>
        <color rgb="FFFFEB84"/>
        <color rgb="FF63BE7B"/>
      </colorScale>
    </cfRule>
  </conditionalFormatting>
  <conditionalFormatting pivot="1" sqref="B5:B16">
    <cfRule type="colorScale" priority="13">
      <colorScale>
        <cfvo type="min"/>
        <cfvo type="percentile" val="50"/>
        <cfvo type="max"/>
        <color rgb="FFF8696B"/>
        <color rgb="FFFFEB84"/>
        <color rgb="FF63BE7B"/>
      </colorScale>
    </cfRule>
  </conditionalFormatting>
  <conditionalFormatting pivot="1" sqref="C5:C16">
    <cfRule type="colorScale" priority="12">
      <colorScale>
        <cfvo type="min"/>
        <cfvo type="percentile" val="50"/>
        <cfvo type="max"/>
        <color rgb="FFF8696B"/>
        <color rgb="FFFFEB84"/>
        <color rgb="FF63BE7B"/>
      </colorScale>
    </cfRule>
  </conditionalFormatting>
  <conditionalFormatting pivot="1" sqref="D5:D16">
    <cfRule type="colorScale" priority="11">
      <colorScale>
        <cfvo type="min"/>
        <cfvo type="percentile" val="50"/>
        <cfvo type="max"/>
        <color rgb="FFF8696B"/>
        <color rgb="FFFFEB84"/>
        <color rgb="FF63BE7B"/>
      </colorScale>
    </cfRule>
  </conditionalFormatting>
  <conditionalFormatting pivot="1" sqref="E5:E16">
    <cfRule type="colorScale" priority="10">
      <colorScale>
        <cfvo type="min"/>
        <cfvo type="percentile" val="50"/>
        <cfvo type="max"/>
        <color rgb="FFF8696B"/>
        <color rgb="FFFFEB84"/>
        <color rgb="FF63BE7B"/>
      </colorScale>
    </cfRule>
  </conditionalFormatting>
  <conditionalFormatting pivot="1" sqref="F5:F16">
    <cfRule type="colorScale" priority="9">
      <colorScale>
        <cfvo type="min"/>
        <cfvo type="percentile" val="50"/>
        <cfvo type="max"/>
        <color rgb="FFF8696B"/>
        <color rgb="FFFFEB84"/>
        <color rgb="FF63BE7B"/>
      </colorScale>
    </cfRule>
  </conditionalFormatting>
  <conditionalFormatting pivot="1" sqref="G5:G16">
    <cfRule type="colorScale" priority="8">
      <colorScale>
        <cfvo type="min"/>
        <cfvo type="percentile" val="50"/>
        <cfvo type="max"/>
        <color rgb="FFF8696B"/>
        <color rgb="FFFFEB84"/>
        <color rgb="FF63BE7B"/>
      </colorScale>
    </cfRule>
  </conditionalFormatting>
  <conditionalFormatting pivot="1" sqref="H5:H16">
    <cfRule type="colorScale" priority="7">
      <colorScale>
        <cfvo type="min"/>
        <cfvo type="percentile" val="50"/>
        <cfvo type="max"/>
        <color rgb="FFF8696B"/>
        <color rgb="FFFFEB84"/>
        <color rgb="FF63BE7B"/>
      </colorScale>
    </cfRule>
  </conditionalFormatting>
  <conditionalFormatting pivot="1" sqref="I5:I16">
    <cfRule type="colorScale" priority="6">
      <colorScale>
        <cfvo type="min"/>
        <cfvo type="percentile" val="50"/>
        <cfvo type="max"/>
        <color rgb="FFF8696B"/>
        <color rgb="FFFFEB84"/>
        <color rgb="FF63BE7B"/>
      </colorScale>
    </cfRule>
  </conditionalFormatting>
  <conditionalFormatting pivot="1" sqref="J5:J16">
    <cfRule type="colorScale" priority="5">
      <colorScale>
        <cfvo type="min"/>
        <cfvo type="percentile" val="50"/>
        <cfvo type="max"/>
        <color rgb="FFF8696B"/>
        <color rgb="FFFFEB84"/>
        <color rgb="FF63BE7B"/>
      </colorScale>
    </cfRule>
  </conditionalFormatting>
  <conditionalFormatting pivot="1" sqref="K5:K16">
    <cfRule type="colorScale" priority="4">
      <colorScale>
        <cfvo type="min"/>
        <cfvo type="percentile" val="50"/>
        <cfvo type="max"/>
        <color rgb="FFF8696B"/>
        <color rgb="FFFFEB84"/>
        <color rgb="FF63BE7B"/>
      </colorScale>
    </cfRule>
  </conditionalFormatting>
  <conditionalFormatting pivot="1" sqref="L5:L16">
    <cfRule type="colorScale" priority="3">
      <colorScale>
        <cfvo type="min"/>
        <cfvo type="percentile" val="50"/>
        <cfvo type="max"/>
        <color rgb="FFF8696B"/>
        <color rgb="FFFFEB84"/>
        <color rgb="FF63BE7B"/>
      </colorScale>
    </cfRule>
  </conditionalFormatting>
  <conditionalFormatting pivot="1" sqref="M5:M16">
    <cfRule type="colorScale" priority="2">
      <colorScale>
        <cfvo type="min"/>
        <cfvo type="percentile" val="50"/>
        <cfvo type="max"/>
        <color rgb="FFF8696B"/>
        <color rgb="FFFFEB84"/>
        <color rgb="FF63BE7B"/>
      </colorScale>
    </cfRule>
  </conditionalFormatting>
  <conditionalFormatting pivot="1" sqref="N5:N16">
    <cfRule type="colorScale" priority="1">
      <colorScale>
        <cfvo type="min"/>
        <cfvo type="percentile" val="50"/>
        <cfvo type="max"/>
        <color rgb="FFF8696B"/>
        <color rgb="FFFFEB84"/>
        <color rgb="FF63BE7B"/>
      </colorScale>
    </cfRule>
  </conditionalFormatting>
  <pageMargins left="0.7" right="0.7" top="0.75" bottom="0.75" header="0.3" footer="0.3"/>
  <drawing r:id="rId2"/>
  <tableParts count="1">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9320A-C90A-4E40-A065-F0E1856E64DA}">
  <sheetPr codeName="Sheet11">
    <pageSetUpPr fitToPage="1"/>
  </sheetPr>
  <dimension ref="A1:Q29"/>
  <sheetViews>
    <sheetView zoomScale="130" zoomScaleNormal="130" zoomScaleSheetLayoutView="130" zoomScalePageLayoutView="130" workbookViewId="0">
      <pane xSplit="4" topLeftCell="F1" activePane="topRight" state="frozen"/>
      <selection activeCell="F19" sqref="F19"/>
      <selection pane="topRight" activeCell="F39" sqref="F39"/>
    </sheetView>
  </sheetViews>
  <sheetFormatPr defaultColWidth="9.140625" defaultRowHeight="12.75" x14ac:dyDescent="0.2"/>
  <cols>
    <col min="1" max="1" width="46" style="47" bestFit="1" customWidth="1"/>
    <col min="2" max="2" width="29.7109375" style="47" bestFit="1" customWidth="1"/>
    <col min="3" max="3" width="9.140625" style="47"/>
    <col min="4" max="4" width="23.85546875" style="47" customWidth="1"/>
    <col min="5" max="5" width="2" style="47" customWidth="1"/>
    <col min="6" max="7" width="11" style="47" bestFit="1" customWidth="1"/>
    <col min="8" max="8" width="12.7109375" style="47" bestFit="1" customWidth="1"/>
    <col min="9" max="9" width="12" style="47" bestFit="1" customWidth="1"/>
    <col min="10" max="10" width="18.5703125" style="47" bestFit="1" customWidth="1"/>
    <col min="11" max="12" width="11" style="47" bestFit="1" customWidth="1"/>
    <col min="13" max="13" width="12.7109375" style="47" bestFit="1" customWidth="1"/>
    <col min="14" max="14" width="12" style="47" bestFit="1" customWidth="1"/>
    <col min="15" max="15" width="18.5703125" style="47" bestFit="1" customWidth="1"/>
    <col min="16" max="16" width="17.5703125" style="47" bestFit="1" customWidth="1"/>
    <col min="17" max="17" width="12" style="47" bestFit="1" customWidth="1"/>
    <col min="18" max="16384" width="9.140625" style="47"/>
  </cols>
  <sheetData>
    <row r="1" spans="1:17" ht="15.75" x14ac:dyDescent="0.25">
      <c r="A1" s="45" t="s">
        <v>120</v>
      </c>
      <c r="B1" s="46"/>
      <c r="C1" s="46"/>
      <c r="D1" s="46"/>
    </row>
    <row r="2" spans="1:17" ht="15.75" x14ac:dyDescent="0.25">
      <c r="A2" s="45" t="s">
        <v>121</v>
      </c>
      <c r="B2" s="46"/>
      <c r="C2" s="46"/>
      <c r="D2" s="46"/>
    </row>
    <row r="3" spans="1:17" ht="12.75" customHeight="1" x14ac:dyDescent="0.25">
      <c r="A3" s="48" t="s">
        <v>122</v>
      </c>
      <c r="B3" s="46"/>
      <c r="C3" s="46"/>
      <c r="D3" s="46"/>
    </row>
    <row r="4" spans="1:17" x14ac:dyDescent="0.2">
      <c r="A4" s="48" t="s">
        <v>123</v>
      </c>
      <c r="B4" s="48"/>
      <c r="C4" s="48"/>
      <c r="D4" s="48"/>
    </row>
    <row r="5" spans="1:17" ht="24.75" customHeight="1" x14ac:dyDescent="0.2">
      <c r="A5" s="48"/>
      <c r="B5" s="48"/>
      <c r="C5" s="48"/>
      <c r="D5" s="48"/>
      <c r="E5" s="49"/>
      <c r="F5" s="434" t="s">
        <v>124</v>
      </c>
      <c r="G5" s="434"/>
      <c r="H5" s="434"/>
      <c r="I5" s="434"/>
      <c r="J5" s="50" t="s">
        <v>125</v>
      </c>
      <c r="K5" s="434" t="s">
        <v>124</v>
      </c>
      <c r="L5" s="434"/>
      <c r="M5" s="434"/>
      <c r="N5" s="434"/>
      <c r="O5" s="50" t="s">
        <v>125</v>
      </c>
      <c r="P5" s="51" t="s">
        <v>124</v>
      </c>
    </row>
    <row r="6" spans="1:17" x14ac:dyDescent="0.2">
      <c r="A6" s="48"/>
      <c r="B6" s="48"/>
      <c r="C6" s="48"/>
      <c r="D6" s="48"/>
      <c r="E6" s="52"/>
      <c r="F6" s="52" t="s">
        <v>126</v>
      </c>
      <c r="G6" s="52" t="s">
        <v>127</v>
      </c>
      <c r="H6" s="52" t="s">
        <v>128</v>
      </c>
      <c r="I6" s="52" t="s">
        <v>129</v>
      </c>
      <c r="J6" s="53" t="s">
        <v>129</v>
      </c>
      <c r="K6" s="52" t="s">
        <v>126</v>
      </c>
      <c r="L6" s="52" t="s">
        <v>127</v>
      </c>
      <c r="M6" s="52" t="s">
        <v>128</v>
      </c>
      <c r="N6" s="52" t="s">
        <v>129</v>
      </c>
      <c r="O6" s="53" t="s">
        <v>129</v>
      </c>
      <c r="P6" s="52" t="s">
        <v>126</v>
      </c>
    </row>
    <row r="7" spans="1:17" x14ac:dyDescent="0.2">
      <c r="A7" s="48"/>
      <c r="B7" s="48"/>
      <c r="C7" s="48"/>
      <c r="D7" s="48"/>
      <c r="E7" s="54"/>
      <c r="F7" s="54">
        <v>2020</v>
      </c>
      <c r="G7" s="54">
        <v>2020</v>
      </c>
      <c r="H7" s="54">
        <v>2020</v>
      </c>
      <c r="I7" s="54">
        <v>2020</v>
      </c>
      <c r="J7" s="55">
        <v>2020</v>
      </c>
      <c r="K7" s="54">
        <v>2021</v>
      </c>
      <c r="L7" s="54">
        <v>2021</v>
      </c>
      <c r="M7" s="54">
        <v>2021</v>
      </c>
      <c r="N7" s="54">
        <v>2021</v>
      </c>
      <c r="O7" s="55">
        <v>2021</v>
      </c>
      <c r="P7" s="54">
        <v>2022</v>
      </c>
    </row>
    <row r="8" spans="1:17" x14ac:dyDescent="0.2">
      <c r="A8" s="48"/>
      <c r="B8" s="48"/>
      <c r="C8" s="48"/>
      <c r="D8" s="48"/>
      <c r="E8" s="56"/>
      <c r="J8" s="57"/>
      <c r="O8" s="57"/>
    </row>
    <row r="9" spans="1:17" x14ac:dyDescent="0.2">
      <c r="A9" s="48" t="s">
        <v>130</v>
      </c>
      <c r="B9" s="48"/>
      <c r="C9" s="48"/>
      <c r="D9" s="48"/>
      <c r="E9" s="58"/>
      <c r="F9" s="59">
        <v>5767691</v>
      </c>
      <c r="G9" s="59">
        <v>6148286</v>
      </c>
      <c r="H9" s="59">
        <v>6435637</v>
      </c>
      <c r="I9" s="59">
        <v>6644442</v>
      </c>
      <c r="J9" s="60">
        <f>SUM(F9:I9)</f>
        <v>24996056</v>
      </c>
      <c r="K9" s="59">
        <v>7163282</v>
      </c>
      <c r="L9" s="59">
        <v>7341777</v>
      </c>
      <c r="M9" s="59">
        <v>7483467</v>
      </c>
      <c r="N9" s="59">
        <v>7709318</v>
      </c>
      <c r="O9" s="60">
        <f>SUM(K9:N9)</f>
        <v>29697844</v>
      </c>
      <c r="P9" s="59">
        <v>7867767</v>
      </c>
      <c r="Q9" s="138">
        <f>P9*3</f>
        <v>23603301</v>
      </c>
    </row>
    <row r="10" spans="1:17" x14ac:dyDescent="0.2">
      <c r="B10" s="48" t="s">
        <v>131</v>
      </c>
      <c r="C10" s="48"/>
      <c r="D10" s="48"/>
      <c r="F10" s="61">
        <v>3599701</v>
      </c>
      <c r="G10" s="61">
        <v>3643707</v>
      </c>
      <c r="H10" s="61">
        <v>3867751</v>
      </c>
      <c r="I10" s="61">
        <v>4165160</v>
      </c>
      <c r="J10" s="62">
        <f t="shared" ref="J10:J15" si="0">SUM(F10:I10)</f>
        <v>15276319</v>
      </c>
      <c r="K10" s="61">
        <v>3868511</v>
      </c>
      <c r="L10" s="61">
        <v>4018008</v>
      </c>
      <c r="M10" s="61">
        <v>4206589</v>
      </c>
      <c r="N10" s="61">
        <v>5239575</v>
      </c>
      <c r="O10" s="62">
        <f t="shared" ref="O10:O15" si="1">SUM(K10:N10)</f>
        <v>17332683</v>
      </c>
      <c r="P10" s="61">
        <v>4284705</v>
      </c>
    </row>
    <row r="11" spans="1:17" x14ac:dyDescent="0.2">
      <c r="B11" s="48" t="s">
        <v>243</v>
      </c>
      <c r="C11" s="48"/>
      <c r="D11" s="48"/>
      <c r="F11" s="61"/>
      <c r="G11" s="61"/>
      <c r="H11" s="61"/>
      <c r="I11" s="61"/>
      <c r="J11" s="62"/>
      <c r="K11" s="61"/>
      <c r="L11" s="61"/>
      <c r="M11" s="61"/>
      <c r="N11" s="164">
        <f>N10/I10-1</f>
        <v>0.2579528757598748</v>
      </c>
      <c r="O11" s="161">
        <f>O10/J10-1</f>
        <v>0.13461122407826132</v>
      </c>
      <c r="P11" s="164">
        <f>P10/N10-1</f>
        <v>-0.18224188030517741</v>
      </c>
      <c r="Q11" s="165">
        <f>Q9/O9-1</f>
        <v>-0.20521836534665616</v>
      </c>
    </row>
    <row r="12" spans="1:17" x14ac:dyDescent="0.2">
      <c r="B12" s="48" t="s">
        <v>132</v>
      </c>
      <c r="C12" s="48"/>
      <c r="D12" s="48"/>
      <c r="E12" s="63"/>
      <c r="F12" s="61">
        <v>503830</v>
      </c>
      <c r="G12" s="61">
        <v>434370</v>
      </c>
      <c r="H12" s="61">
        <v>527597</v>
      </c>
      <c r="I12" s="61">
        <v>762565</v>
      </c>
      <c r="J12" s="62">
        <f t="shared" si="0"/>
        <v>2228362</v>
      </c>
      <c r="K12" s="61">
        <v>512512</v>
      </c>
      <c r="L12" s="61">
        <v>603973</v>
      </c>
      <c r="M12" s="61">
        <v>635948</v>
      </c>
      <c r="N12" s="61">
        <v>792713</v>
      </c>
      <c r="O12" s="62">
        <f t="shared" si="1"/>
        <v>2545146</v>
      </c>
      <c r="P12" s="61">
        <v>555978</v>
      </c>
    </row>
    <row r="13" spans="1:17" x14ac:dyDescent="0.2">
      <c r="B13" s="48" t="s">
        <v>133</v>
      </c>
      <c r="C13" s="48"/>
      <c r="D13" s="48"/>
      <c r="E13" s="63"/>
      <c r="F13" s="61">
        <v>453817</v>
      </c>
      <c r="G13" s="61">
        <v>435045</v>
      </c>
      <c r="H13" s="61">
        <v>453802</v>
      </c>
      <c r="I13" s="61">
        <v>486936</v>
      </c>
      <c r="J13" s="62">
        <f t="shared" si="0"/>
        <v>1829600</v>
      </c>
      <c r="K13" s="61">
        <v>525207</v>
      </c>
      <c r="L13" s="61">
        <v>537321</v>
      </c>
      <c r="M13" s="61">
        <v>563887</v>
      </c>
      <c r="N13" s="61">
        <v>647470</v>
      </c>
      <c r="O13" s="62">
        <f t="shared" si="1"/>
        <v>2273885</v>
      </c>
      <c r="P13" s="61">
        <v>657530</v>
      </c>
    </row>
    <row r="14" spans="1:17" x14ac:dyDescent="0.2">
      <c r="B14" s="48" t="s">
        <v>134</v>
      </c>
      <c r="C14" s="48"/>
      <c r="D14" s="48"/>
      <c r="E14" s="63"/>
      <c r="F14" s="64">
        <v>252087</v>
      </c>
      <c r="G14" s="64">
        <v>277236</v>
      </c>
      <c r="H14" s="61">
        <v>271624</v>
      </c>
      <c r="I14" s="61">
        <v>275539</v>
      </c>
      <c r="J14" s="62">
        <f t="shared" si="0"/>
        <v>1076486</v>
      </c>
      <c r="K14" s="64">
        <v>297196</v>
      </c>
      <c r="L14" s="64">
        <v>334845</v>
      </c>
      <c r="M14" s="64">
        <v>321790</v>
      </c>
      <c r="N14" s="61">
        <v>397790</v>
      </c>
      <c r="O14" s="62">
        <f t="shared" si="1"/>
        <v>1351621</v>
      </c>
      <c r="P14" s="64">
        <v>397928</v>
      </c>
    </row>
    <row r="15" spans="1:17" x14ac:dyDescent="0.2">
      <c r="A15" s="48" t="s">
        <v>135</v>
      </c>
      <c r="B15" s="48"/>
      <c r="C15" s="48"/>
      <c r="D15" s="48"/>
      <c r="E15" s="63"/>
      <c r="F15" s="65">
        <f>F9-SUM(F10:F14)</f>
        <v>958256</v>
      </c>
      <c r="G15" s="65">
        <f>G9-SUM(G10:G14)</f>
        <v>1357928</v>
      </c>
      <c r="H15" s="65">
        <f>H9-SUM(H10:H14)</f>
        <v>1314863</v>
      </c>
      <c r="I15" s="65">
        <f>I9-SUM(I10:I14)</f>
        <v>954242</v>
      </c>
      <c r="J15" s="66">
        <f t="shared" si="0"/>
        <v>4585289</v>
      </c>
      <c r="K15" s="65">
        <f>K9-SUM(K10:K14)</f>
        <v>1959856</v>
      </c>
      <c r="L15" s="65">
        <f>L9-SUM(L10:L14)</f>
        <v>1847630</v>
      </c>
      <c r="M15" s="65">
        <f>M9-SUM(M10:M14)</f>
        <v>1755253</v>
      </c>
      <c r="N15" s="65">
        <f>N9-SUM(N10:N14)</f>
        <v>631769.74204712454</v>
      </c>
      <c r="O15" s="66">
        <f t="shared" si="1"/>
        <v>6194508.7420471245</v>
      </c>
      <c r="P15" s="65">
        <f>P9-SUM(P10:P14)</f>
        <v>1971626.1822418803</v>
      </c>
    </row>
    <row r="16" spans="1:17" x14ac:dyDescent="0.2">
      <c r="A16" s="48" t="s">
        <v>136</v>
      </c>
      <c r="B16" s="48"/>
      <c r="C16" s="48"/>
      <c r="D16" s="48"/>
      <c r="F16" s="63"/>
      <c r="G16" s="63"/>
      <c r="H16" s="63"/>
      <c r="I16" s="63"/>
      <c r="J16" s="67"/>
      <c r="K16" s="63"/>
      <c r="L16" s="63"/>
      <c r="M16" s="63"/>
      <c r="N16" s="63"/>
      <c r="O16" s="67"/>
      <c r="P16" s="63"/>
    </row>
    <row r="17" spans="1:16" x14ac:dyDescent="0.2">
      <c r="A17" s="48"/>
      <c r="B17" s="48" t="s">
        <v>137</v>
      </c>
      <c r="C17" s="48"/>
      <c r="D17" s="48"/>
      <c r="F17" s="63">
        <v>-184083</v>
      </c>
      <c r="G17" s="63">
        <v>-189151</v>
      </c>
      <c r="H17" s="63">
        <v>-197079</v>
      </c>
      <c r="I17" s="63">
        <v>-197186</v>
      </c>
      <c r="J17" s="62">
        <f t="shared" ref="J17:J21" si="2">SUM(F17:I17)</f>
        <v>-767499</v>
      </c>
      <c r="K17" s="63">
        <v>-194440</v>
      </c>
      <c r="L17" s="63">
        <v>-191322</v>
      </c>
      <c r="M17" s="63">
        <v>-190429</v>
      </c>
      <c r="N17" s="63">
        <v>-189429</v>
      </c>
      <c r="O17" s="62">
        <f t="shared" ref="O17:O21" si="3">SUM(K17:N17)</f>
        <v>-765620</v>
      </c>
      <c r="P17" s="63">
        <v>-187579</v>
      </c>
    </row>
    <row r="18" spans="1:16" x14ac:dyDescent="0.2">
      <c r="A18" s="48"/>
      <c r="B18" s="48" t="s">
        <v>138</v>
      </c>
      <c r="C18" s="48"/>
      <c r="D18" s="48"/>
      <c r="E18" s="63"/>
      <c r="F18" s="63">
        <v>21697</v>
      </c>
      <c r="G18" s="63">
        <v>-133175</v>
      </c>
      <c r="H18" s="63">
        <v>-256324</v>
      </c>
      <c r="I18" s="63">
        <v>-250639</v>
      </c>
      <c r="J18" s="62">
        <f t="shared" si="2"/>
        <v>-618441</v>
      </c>
      <c r="K18" s="63">
        <v>269086</v>
      </c>
      <c r="L18" s="63">
        <v>-62519</v>
      </c>
      <c r="M18" s="63">
        <v>96135</v>
      </c>
      <c r="N18" s="63">
        <v>108512</v>
      </c>
      <c r="O18" s="62">
        <f t="shared" si="3"/>
        <v>411214</v>
      </c>
      <c r="P18" s="63">
        <v>195645</v>
      </c>
    </row>
    <row r="19" spans="1:16" x14ac:dyDescent="0.2">
      <c r="A19" s="48" t="s">
        <v>139</v>
      </c>
      <c r="B19" s="48"/>
      <c r="C19" s="48"/>
      <c r="D19" s="48"/>
      <c r="E19" s="63"/>
      <c r="F19" s="65">
        <f>SUM(F15:F18)</f>
        <v>795870</v>
      </c>
      <c r="G19" s="65">
        <f>SUM(G15:G18)</f>
        <v>1035602</v>
      </c>
      <c r="H19" s="65">
        <f>SUM(H15:H18)</f>
        <v>861460</v>
      </c>
      <c r="I19" s="65">
        <f>SUM(I15:I18)</f>
        <v>506417</v>
      </c>
      <c r="J19" s="66">
        <f t="shared" si="2"/>
        <v>3199349</v>
      </c>
      <c r="K19" s="65">
        <f>SUM(K15:K18)</f>
        <v>2034502</v>
      </c>
      <c r="L19" s="65">
        <f>SUM(L15:L18)</f>
        <v>1593789</v>
      </c>
      <c r="M19" s="65">
        <f>SUM(M15:M18)</f>
        <v>1660959</v>
      </c>
      <c r="N19" s="65">
        <f>SUM(N15:N18)</f>
        <v>550852.74204712454</v>
      </c>
      <c r="O19" s="66">
        <f t="shared" si="3"/>
        <v>5840102.7420471245</v>
      </c>
      <c r="P19" s="65">
        <f>SUM(P15:P18)</f>
        <v>1979692.1822418803</v>
      </c>
    </row>
    <row r="20" spans="1:16" x14ac:dyDescent="0.2">
      <c r="A20" s="48" t="s">
        <v>140</v>
      </c>
      <c r="B20" s="48"/>
      <c r="C20" s="48"/>
      <c r="D20" s="48"/>
      <c r="E20" s="63"/>
      <c r="F20" s="68">
        <v>-86803</v>
      </c>
      <c r="G20" s="68">
        <v>-315406</v>
      </c>
      <c r="H20" s="63">
        <v>-71484</v>
      </c>
      <c r="I20" s="63">
        <v>35739</v>
      </c>
      <c r="J20" s="62">
        <f t="shared" si="2"/>
        <v>-437954</v>
      </c>
      <c r="K20" s="68">
        <v>-327787</v>
      </c>
      <c r="L20" s="68">
        <v>-240776</v>
      </c>
      <c r="M20" s="68">
        <v>-211888</v>
      </c>
      <c r="N20" s="63">
        <v>56576</v>
      </c>
      <c r="O20" s="62">
        <f t="shared" si="3"/>
        <v>-723875</v>
      </c>
      <c r="P20" s="68">
        <v>-382245</v>
      </c>
    </row>
    <row r="21" spans="1:16" ht="13.5" thickBot="1" x14ac:dyDescent="0.25">
      <c r="A21" s="48" t="s">
        <v>141</v>
      </c>
      <c r="B21" s="48"/>
      <c r="C21" s="48"/>
      <c r="D21" s="48"/>
      <c r="E21" s="58"/>
      <c r="F21" s="69">
        <f>F19+F20</f>
        <v>709067</v>
      </c>
      <c r="G21" s="69">
        <f t="shared" ref="G21:I21" si="4">G19+G20</f>
        <v>720196</v>
      </c>
      <c r="H21" s="69">
        <f t="shared" si="4"/>
        <v>789976</v>
      </c>
      <c r="I21" s="69">
        <f t="shared" si="4"/>
        <v>542156</v>
      </c>
      <c r="J21" s="70">
        <f t="shared" si="2"/>
        <v>2761395</v>
      </c>
      <c r="K21" s="69">
        <f t="shared" ref="K21:P21" si="5">K19+K20</f>
        <v>1706715</v>
      </c>
      <c r="L21" s="69">
        <f t="shared" si="5"/>
        <v>1353013</v>
      </c>
      <c r="M21" s="69">
        <f t="shared" si="5"/>
        <v>1449071</v>
      </c>
      <c r="N21" s="69">
        <f t="shared" si="5"/>
        <v>607428.74204712454</v>
      </c>
      <c r="O21" s="70">
        <f t="shared" si="3"/>
        <v>5116227.7420471245</v>
      </c>
      <c r="P21" s="69">
        <f t="shared" si="5"/>
        <v>1597447.1822418803</v>
      </c>
    </row>
    <row r="22" spans="1:16" x14ac:dyDescent="0.2">
      <c r="A22" s="48" t="s">
        <v>142</v>
      </c>
      <c r="B22" s="48"/>
      <c r="C22" s="48"/>
      <c r="D22" s="48"/>
      <c r="F22" s="71"/>
      <c r="G22" s="71"/>
      <c r="H22" s="71"/>
      <c r="I22" s="71"/>
      <c r="J22" s="72"/>
      <c r="K22" s="71"/>
      <c r="L22" s="71"/>
      <c r="M22" s="71"/>
      <c r="N22" s="71"/>
      <c r="O22" s="72"/>
      <c r="P22" s="71"/>
    </row>
    <row r="23" spans="1:16" x14ac:dyDescent="0.2">
      <c r="A23" s="48"/>
      <c r="B23" s="48" t="s">
        <v>143</v>
      </c>
      <c r="C23" s="48"/>
      <c r="D23" s="48"/>
      <c r="E23" s="73"/>
      <c r="F23" s="74">
        <v>1.61</v>
      </c>
      <c r="G23" s="74">
        <v>1.63</v>
      </c>
      <c r="H23" s="74">
        <v>1.79</v>
      </c>
      <c r="I23" s="74">
        <v>1.23</v>
      </c>
      <c r="J23" s="75">
        <v>6.26</v>
      </c>
      <c r="K23" s="74">
        <v>3.85</v>
      </c>
      <c r="L23" s="74">
        <v>3.05</v>
      </c>
      <c r="M23" s="74">
        <v>3.27</v>
      </c>
      <c r="N23" s="74">
        <v>1.37</v>
      </c>
      <c r="O23" s="75">
        <v>11.55</v>
      </c>
      <c r="P23" s="74">
        <v>3.6</v>
      </c>
    </row>
    <row r="24" spans="1:16" x14ac:dyDescent="0.2">
      <c r="A24" s="48"/>
      <c r="B24" s="48" t="s">
        <v>144</v>
      </c>
      <c r="C24" s="48"/>
      <c r="D24" s="48"/>
      <c r="E24" s="73"/>
      <c r="F24" s="74">
        <v>1.57</v>
      </c>
      <c r="G24" s="74">
        <v>1.59</v>
      </c>
      <c r="H24" s="74">
        <v>1.74</v>
      </c>
      <c r="I24" s="74">
        <v>1.19</v>
      </c>
      <c r="J24" s="75">
        <v>6.08</v>
      </c>
      <c r="K24" s="74">
        <v>3.75</v>
      </c>
      <c r="L24" s="74">
        <v>2.97</v>
      </c>
      <c r="M24" s="74">
        <v>3.19</v>
      </c>
      <c r="N24" s="74">
        <v>1.33</v>
      </c>
      <c r="O24" s="75">
        <v>11.24</v>
      </c>
      <c r="P24" s="74">
        <v>3.53</v>
      </c>
    </row>
    <row r="25" spans="1:16" x14ac:dyDescent="0.2">
      <c r="A25" s="48" t="s">
        <v>145</v>
      </c>
      <c r="B25" s="48"/>
      <c r="C25" s="48"/>
      <c r="D25" s="48"/>
      <c r="F25" s="76"/>
      <c r="G25" s="76"/>
      <c r="H25" s="76"/>
      <c r="I25" s="76"/>
      <c r="J25" s="57"/>
      <c r="K25" s="76"/>
      <c r="L25" s="76"/>
      <c r="M25" s="76"/>
      <c r="N25" s="76"/>
      <c r="O25" s="57"/>
      <c r="P25" s="76"/>
    </row>
    <row r="26" spans="1:16" x14ac:dyDescent="0.2">
      <c r="A26" s="48"/>
      <c r="B26" s="48" t="s">
        <v>143</v>
      </c>
      <c r="C26" s="48"/>
      <c r="D26" s="48"/>
      <c r="E26" s="76"/>
      <c r="F26" s="76">
        <v>439352</v>
      </c>
      <c r="G26" s="76">
        <v>440569</v>
      </c>
      <c r="H26" s="76">
        <v>441526</v>
      </c>
      <c r="I26" s="76">
        <v>442220</v>
      </c>
      <c r="J26" s="77">
        <v>440922</v>
      </c>
      <c r="K26" s="76">
        <v>443224</v>
      </c>
      <c r="L26" s="76">
        <v>443159</v>
      </c>
      <c r="M26" s="76">
        <v>442778</v>
      </c>
      <c r="N26" s="76">
        <v>443462</v>
      </c>
      <c r="O26" s="77">
        <v>443155</v>
      </c>
      <c r="P26" s="76">
        <v>444146</v>
      </c>
    </row>
    <row r="27" spans="1:16" x14ac:dyDescent="0.2">
      <c r="A27" s="48"/>
      <c r="B27" s="48" t="s">
        <v>144</v>
      </c>
      <c r="C27" s="48"/>
      <c r="D27" s="48"/>
      <c r="E27" s="76"/>
      <c r="F27" s="76">
        <v>452494</v>
      </c>
      <c r="G27" s="76">
        <v>453945</v>
      </c>
      <c r="H27" s="76">
        <v>455088</v>
      </c>
      <c r="I27" s="76">
        <v>455283</v>
      </c>
      <c r="J27" s="77">
        <v>454208</v>
      </c>
      <c r="K27" s="76">
        <v>455641</v>
      </c>
      <c r="L27" s="76">
        <v>455129</v>
      </c>
      <c r="M27" s="76">
        <v>454925</v>
      </c>
      <c r="N27" s="76">
        <v>455795</v>
      </c>
      <c r="O27" s="77">
        <v>455372</v>
      </c>
      <c r="P27" s="76">
        <v>452984</v>
      </c>
    </row>
    <row r="28" spans="1:16" x14ac:dyDescent="0.2">
      <c r="A28" s="48"/>
      <c r="B28" s="48"/>
      <c r="C28" s="48"/>
      <c r="D28" s="48"/>
      <c r="E28" s="76"/>
    </row>
    <row r="29" spans="1:16" x14ac:dyDescent="0.2">
      <c r="A29" s="78"/>
      <c r="B29" s="79"/>
      <c r="C29" s="48"/>
      <c r="D29" s="48"/>
      <c r="E29" s="76"/>
    </row>
  </sheetData>
  <mergeCells count="2">
    <mergeCell ref="F5:I5"/>
    <mergeCell ref="K5:N5"/>
  </mergeCells>
  <pageMargins left="0.35" right="0.24" top="0.27" bottom="0.75" header="0.17" footer="0.3"/>
  <pageSetup scale="4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20E0-1684-47C2-A38A-984FD704A445}">
  <sheetPr codeName="Sheet12">
    <pageSetUpPr fitToPage="1"/>
  </sheetPr>
  <dimension ref="A1:O58"/>
  <sheetViews>
    <sheetView view="pageBreakPreview" zoomScaleNormal="190" zoomScaleSheetLayoutView="100" zoomScalePageLayoutView="190" workbookViewId="0">
      <selection activeCell="A10" sqref="A10:XFD10"/>
    </sheetView>
  </sheetViews>
  <sheetFormatPr defaultColWidth="9.140625" defaultRowHeight="12.75" x14ac:dyDescent="0.2"/>
  <cols>
    <col min="1" max="1" width="4.7109375" style="47" customWidth="1"/>
    <col min="2" max="5" width="1.42578125" style="47" customWidth="1"/>
    <col min="6" max="6" width="38.85546875" style="47" customWidth="1"/>
    <col min="7" max="9" width="14" style="47" customWidth="1"/>
    <col min="10" max="10" width="14.140625" style="47" customWidth="1"/>
    <col min="11" max="15" width="14" style="47" customWidth="1"/>
    <col min="16" max="16384" width="9.140625" style="47"/>
  </cols>
  <sheetData>
    <row r="1" spans="1:15" ht="15.75" x14ac:dyDescent="0.25">
      <c r="A1" s="45" t="s">
        <v>120</v>
      </c>
      <c r="B1" s="45"/>
      <c r="C1" s="80"/>
      <c r="D1" s="80"/>
      <c r="E1" s="80"/>
      <c r="F1" s="80"/>
    </row>
    <row r="2" spans="1:15" ht="15.75" x14ac:dyDescent="0.25">
      <c r="A2" s="45" t="s">
        <v>146</v>
      </c>
      <c r="B2" s="45"/>
      <c r="C2" s="80"/>
      <c r="D2" s="80"/>
      <c r="E2" s="80"/>
      <c r="F2" s="80"/>
    </row>
    <row r="3" spans="1:15" x14ac:dyDescent="0.2">
      <c r="A3" s="48" t="s">
        <v>122</v>
      </c>
      <c r="B3" s="48"/>
      <c r="C3" s="48"/>
      <c r="D3" s="48"/>
      <c r="E3" s="48"/>
      <c r="F3" s="48"/>
      <c r="G3" s="81"/>
      <c r="H3" s="81"/>
      <c r="I3" s="81"/>
      <c r="K3" s="81"/>
      <c r="L3" s="81"/>
      <c r="M3" s="81"/>
      <c r="N3" s="81"/>
      <c r="O3" s="81"/>
    </row>
    <row r="4" spans="1:15" x14ac:dyDescent="0.2">
      <c r="A4" s="48" t="s">
        <v>147</v>
      </c>
      <c r="B4" s="48"/>
      <c r="C4" s="48"/>
      <c r="D4" s="48"/>
      <c r="E4" s="48"/>
      <c r="F4" s="48"/>
      <c r="G4" s="81"/>
      <c r="H4" s="81"/>
      <c r="I4" s="81"/>
      <c r="K4" s="81"/>
      <c r="L4" s="81"/>
      <c r="M4" s="81"/>
      <c r="N4" s="81"/>
      <c r="O4" s="81"/>
    </row>
    <row r="5" spans="1:15" x14ac:dyDescent="0.2">
      <c r="A5" s="48"/>
      <c r="B5" s="48"/>
      <c r="C5" s="48"/>
      <c r="D5" s="48"/>
      <c r="E5" s="48"/>
      <c r="F5" s="48"/>
    </row>
    <row r="6" spans="1:15" x14ac:dyDescent="0.2">
      <c r="A6" s="48"/>
      <c r="B6" s="48"/>
      <c r="C6" s="48"/>
      <c r="D6" s="48"/>
      <c r="E6" s="48"/>
      <c r="F6" s="48"/>
      <c r="G6" s="52" t="s">
        <v>126</v>
      </c>
      <c r="H6" s="52" t="s">
        <v>127</v>
      </c>
      <c r="I6" s="52" t="s">
        <v>128</v>
      </c>
      <c r="J6" s="82" t="s">
        <v>129</v>
      </c>
      <c r="K6" s="52" t="s">
        <v>126</v>
      </c>
      <c r="L6" s="52" t="s">
        <v>127</v>
      </c>
      <c r="M6" s="52" t="s">
        <v>128</v>
      </c>
      <c r="N6" s="82" t="s">
        <v>129</v>
      </c>
      <c r="O6" s="52" t="s">
        <v>126</v>
      </c>
    </row>
    <row r="7" spans="1:15" x14ac:dyDescent="0.2">
      <c r="A7" s="48"/>
      <c r="B7" s="48"/>
      <c r="C7" s="48"/>
      <c r="D7" s="48"/>
      <c r="E7" s="48"/>
      <c r="F7" s="48"/>
      <c r="G7" s="54">
        <v>2020</v>
      </c>
      <c r="H7" s="54">
        <v>2020</v>
      </c>
      <c r="I7" s="54">
        <v>2020</v>
      </c>
      <c r="J7" s="55">
        <v>2020</v>
      </c>
      <c r="K7" s="54">
        <v>2021</v>
      </c>
      <c r="L7" s="54">
        <v>2021</v>
      </c>
      <c r="M7" s="54">
        <v>2021</v>
      </c>
      <c r="N7" s="55">
        <v>2021</v>
      </c>
      <c r="O7" s="54">
        <v>2022</v>
      </c>
    </row>
    <row r="8" spans="1:15" x14ac:dyDescent="0.2">
      <c r="A8" s="83" t="s">
        <v>148</v>
      </c>
      <c r="B8" s="83"/>
      <c r="C8" s="84"/>
      <c r="D8" s="84"/>
      <c r="E8" s="84"/>
      <c r="F8" s="84"/>
      <c r="J8" s="57"/>
      <c r="N8" s="57"/>
    </row>
    <row r="9" spans="1:15" x14ac:dyDescent="0.2">
      <c r="A9" s="84" t="s">
        <v>149</v>
      </c>
      <c r="B9" s="84"/>
      <c r="C9" s="84"/>
      <c r="D9" s="84"/>
      <c r="E9" s="84"/>
      <c r="F9" s="84"/>
      <c r="J9" s="57"/>
      <c r="N9" s="57"/>
    </row>
    <row r="10" spans="1:15" x14ac:dyDescent="0.2">
      <c r="A10" s="84"/>
      <c r="C10" s="84" t="s">
        <v>150</v>
      </c>
      <c r="D10" s="84"/>
      <c r="E10" s="84"/>
      <c r="F10" s="84"/>
      <c r="G10" s="85">
        <v>5151884</v>
      </c>
      <c r="H10" s="85">
        <v>7153248</v>
      </c>
      <c r="I10" s="85">
        <v>8392391</v>
      </c>
      <c r="J10" s="86">
        <v>8205550</v>
      </c>
      <c r="K10" s="85">
        <v>8403705</v>
      </c>
      <c r="L10" s="85">
        <v>7777530</v>
      </c>
      <c r="M10" s="85">
        <v>7526681</v>
      </c>
      <c r="N10" s="86">
        <v>6027804</v>
      </c>
      <c r="O10" s="85">
        <v>6008946</v>
      </c>
    </row>
    <row r="11" spans="1:15" x14ac:dyDescent="0.2">
      <c r="A11" s="84"/>
      <c r="C11" s="84" t="s">
        <v>151</v>
      </c>
      <c r="D11" s="84"/>
      <c r="E11" s="84"/>
      <c r="F11" s="84"/>
      <c r="G11" s="87">
        <v>1295897</v>
      </c>
      <c r="H11" s="87">
        <v>1410891</v>
      </c>
      <c r="I11" s="87">
        <v>1434089</v>
      </c>
      <c r="J11" s="88">
        <v>1556030</v>
      </c>
      <c r="K11" s="87">
        <v>1703803</v>
      </c>
      <c r="L11" s="87">
        <v>1826746</v>
      </c>
      <c r="M11" s="87">
        <v>1889106</v>
      </c>
      <c r="N11" s="88">
        <v>2042021</v>
      </c>
      <c r="O11" s="87">
        <v>2089069</v>
      </c>
    </row>
    <row r="12" spans="1:15" x14ac:dyDescent="0.2">
      <c r="A12" s="84"/>
      <c r="B12" s="84"/>
      <c r="C12" s="84"/>
      <c r="D12" s="84"/>
      <c r="E12" s="84"/>
      <c r="F12" s="84" t="s">
        <v>152</v>
      </c>
      <c r="G12" s="89">
        <f t="shared" ref="G12:O12" si="0">SUM(G10:G11)</f>
        <v>6447781</v>
      </c>
      <c r="H12" s="89">
        <f t="shared" si="0"/>
        <v>8564139</v>
      </c>
      <c r="I12" s="89">
        <f t="shared" si="0"/>
        <v>9826480</v>
      </c>
      <c r="J12" s="90">
        <f t="shared" si="0"/>
        <v>9761580</v>
      </c>
      <c r="K12" s="89">
        <f t="shared" si="0"/>
        <v>10107508</v>
      </c>
      <c r="L12" s="89">
        <f t="shared" si="0"/>
        <v>9604276</v>
      </c>
      <c r="M12" s="89">
        <f t="shared" si="0"/>
        <v>9415787</v>
      </c>
      <c r="N12" s="90">
        <f t="shared" si="0"/>
        <v>8069825</v>
      </c>
      <c r="O12" s="89">
        <f t="shared" si="0"/>
        <v>8098015</v>
      </c>
    </row>
    <row r="13" spans="1:15" x14ac:dyDescent="0.2">
      <c r="A13" s="91" t="s">
        <v>153</v>
      </c>
      <c r="B13" s="84"/>
      <c r="C13" s="84"/>
      <c r="D13" s="84"/>
      <c r="E13" s="84"/>
      <c r="F13" s="84"/>
      <c r="G13" s="92">
        <v>25266889</v>
      </c>
      <c r="H13" s="92">
        <v>25155117</v>
      </c>
      <c r="I13" s="92">
        <v>25067633</v>
      </c>
      <c r="J13" s="90">
        <v>25383950</v>
      </c>
      <c r="K13" s="92">
        <v>26043991</v>
      </c>
      <c r="L13" s="92">
        <v>27291640</v>
      </c>
      <c r="M13" s="92">
        <v>28974045</v>
      </c>
      <c r="N13" s="90">
        <v>30919539</v>
      </c>
      <c r="O13" s="92">
        <v>31191920</v>
      </c>
    </row>
    <row r="14" spans="1:15" x14ac:dyDescent="0.2">
      <c r="A14" s="84" t="s">
        <v>154</v>
      </c>
      <c r="B14" s="84"/>
      <c r="C14" s="84"/>
      <c r="D14" s="84"/>
      <c r="E14" s="84"/>
      <c r="F14" s="84"/>
      <c r="G14" s="92">
        <v>650455</v>
      </c>
      <c r="H14" s="92">
        <v>751941</v>
      </c>
      <c r="I14" s="92">
        <v>828118</v>
      </c>
      <c r="J14" s="90">
        <v>960183</v>
      </c>
      <c r="K14" s="92">
        <v>1015419</v>
      </c>
      <c r="L14" s="92">
        <v>1107437</v>
      </c>
      <c r="M14" s="92">
        <v>1220114</v>
      </c>
      <c r="N14" s="90">
        <v>1323453</v>
      </c>
      <c r="O14" s="92">
        <v>1383763</v>
      </c>
    </row>
    <row r="15" spans="1:15" x14ac:dyDescent="0.2">
      <c r="A15" s="84" t="s">
        <v>155</v>
      </c>
      <c r="B15" s="84"/>
      <c r="C15" s="84"/>
      <c r="D15" s="84"/>
      <c r="E15" s="84"/>
      <c r="F15" s="84"/>
      <c r="G15" s="87">
        <v>2694785</v>
      </c>
      <c r="H15" s="87">
        <v>2704084</v>
      </c>
      <c r="I15" s="87">
        <v>2900312</v>
      </c>
      <c r="J15" s="90">
        <v>3174646</v>
      </c>
      <c r="K15" s="87">
        <v>2956096</v>
      </c>
      <c r="L15" s="87">
        <v>2967616</v>
      </c>
      <c r="M15" s="87">
        <v>3129911</v>
      </c>
      <c r="N15" s="90">
        <v>4271846</v>
      </c>
      <c r="O15" s="87">
        <v>4657206</v>
      </c>
    </row>
    <row r="16" spans="1:15" s="95" customFormat="1" ht="13.5" thickBot="1" x14ac:dyDescent="0.25">
      <c r="A16" s="83"/>
      <c r="B16" s="83"/>
      <c r="C16" s="83"/>
      <c r="D16" s="83"/>
      <c r="E16" s="83"/>
      <c r="F16" s="83" t="s">
        <v>156</v>
      </c>
      <c r="G16" s="93">
        <f t="shared" ref="G16:O16" si="1">SUM(G12:G15)</f>
        <v>35059910</v>
      </c>
      <c r="H16" s="93">
        <f t="shared" si="1"/>
        <v>37175281</v>
      </c>
      <c r="I16" s="93">
        <f t="shared" si="1"/>
        <v>38622543</v>
      </c>
      <c r="J16" s="94">
        <f t="shared" si="1"/>
        <v>39280359</v>
      </c>
      <c r="K16" s="93">
        <f t="shared" si="1"/>
        <v>40123014</v>
      </c>
      <c r="L16" s="93">
        <f t="shared" si="1"/>
        <v>40970969</v>
      </c>
      <c r="M16" s="93">
        <f t="shared" si="1"/>
        <v>42739857</v>
      </c>
      <c r="N16" s="94">
        <f t="shared" si="1"/>
        <v>44584663</v>
      </c>
      <c r="O16" s="93">
        <f t="shared" si="1"/>
        <v>45330904</v>
      </c>
    </row>
    <row r="17" spans="1:15" x14ac:dyDescent="0.2">
      <c r="A17" s="83" t="s">
        <v>157</v>
      </c>
      <c r="B17" s="83"/>
      <c r="C17" s="84"/>
      <c r="D17" s="84"/>
      <c r="E17" s="84"/>
      <c r="F17" s="84"/>
      <c r="G17" s="96"/>
      <c r="H17" s="96"/>
      <c r="I17" s="96"/>
      <c r="J17" s="97"/>
      <c r="K17" s="96"/>
      <c r="L17" s="96"/>
      <c r="M17" s="96"/>
      <c r="N17" s="97"/>
      <c r="O17" s="96"/>
    </row>
    <row r="18" spans="1:15" x14ac:dyDescent="0.2">
      <c r="A18" s="84" t="s">
        <v>158</v>
      </c>
      <c r="B18" s="84"/>
      <c r="C18" s="84"/>
      <c r="D18" s="84"/>
      <c r="E18" s="84"/>
      <c r="F18" s="84"/>
      <c r="G18" s="89"/>
      <c r="H18" s="89"/>
      <c r="I18" s="89"/>
      <c r="J18" s="90"/>
      <c r="K18" s="89"/>
      <c r="L18" s="89"/>
      <c r="M18" s="89"/>
      <c r="N18" s="90"/>
      <c r="O18" s="89"/>
    </row>
    <row r="19" spans="1:15" x14ac:dyDescent="0.2">
      <c r="A19" s="84"/>
      <c r="B19" s="84"/>
      <c r="C19" s="84" t="s">
        <v>159</v>
      </c>
      <c r="D19" s="84"/>
      <c r="E19" s="84"/>
      <c r="F19" s="84"/>
      <c r="G19" s="98">
        <v>4761585</v>
      </c>
      <c r="H19" s="98">
        <v>4664733</v>
      </c>
      <c r="I19" s="98">
        <v>4599654</v>
      </c>
      <c r="J19" s="86">
        <v>4429536</v>
      </c>
      <c r="K19" s="98">
        <v>4297957</v>
      </c>
      <c r="L19" s="98">
        <v>4197874</v>
      </c>
      <c r="M19" s="98">
        <v>4110962</v>
      </c>
      <c r="N19" s="86">
        <v>4292967</v>
      </c>
      <c r="O19" s="98">
        <v>4066289</v>
      </c>
    </row>
    <row r="20" spans="1:15" x14ac:dyDescent="0.2">
      <c r="A20" s="84"/>
      <c r="C20" s="84" t="s">
        <v>160</v>
      </c>
      <c r="D20" s="84"/>
      <c r="E20" s="84"/>
      <c r="F20" s="84"/>
      <c r="G20" s="92">
        <v>545488</v>
      </c>
      <c r="H20" s="92">
        <v>446668</v>
      </c>
      <c r="I20" s="92">
        <v>541298</v>
      </c>
      <c r="J20" s="90">
        <v>656183</v>
      </c>
      <c r="K20" s="92">
        <v>532942</v>
      </c>
      <c r="L20" s="92">
        <v>622931</v>
      </c>
      <c r="M20" s="92">
        <v>643059</v>
      </c>
      <c r="N20" s="90">
        <v>837483</v>
      </c>
      <c r="O20" s="92">
        <v>617202</v>
      </c>
    </row>
    <row r="21" spans="1:15" x14ac:dyDescent="0.2">
      <c r="A21" s="84"/>
      <c r="C21" s="84" t="s">
        <v>161</v>
      </c>
      <c r="D21" s="84"/>
      <c r="E21" s="84"/>
      <c r="F21" s="84"/>
      <c r="G21" s="99">
        <v>1061090</v>
      </c>
      <c r="H21" s="99">
        <v>986595</v>
      </c>
      <c r="I21" s="99">
        <v>1259124</v>
      </c>
      <c r="J21" s="90">
        <v>1102196</v>
      </c>
      <c r="K21" s="99">
        <v>1291812</v>
      </c>
      <c r="L21" s="99">
        <v>1125591</v>
      </c>
      <c r="M21" s="99">
        <v>1413120</v>
      </c>
      <c r="N21" s="90">
        <v>1449351</v>
      </c>
      <c r="O21" s="99">
        <v>1817117</v>
      </c>
    </row>
    <row r="22" spans="1:15" x14ac:dyDescent="0.2">
      <c r="A22" s="84"/>
      <c r="C22" s="84" t="s">
        <v>162</v>
      </c>
      <c r="D22" s="84"/>
      <c r="E22" s="84"/>
      <c r="F22" s="84"/>
      <c r="G22" s="99">
        <v>986753</v>
      </c>
      <c r="H22" s="99">
        <v>1029261</v>
      </c>
      <c r="I22" s="99">
        <v>1040202</v>
      </c>
      <c r="J22" s="90">
        <v>1117992</v>
      </c>
      <c r="K22" s="99">
        <v>1140271</v>
      </c>
      <c r="L22" s="99">
        <v>1187364</v>
      </c>
      <c r="M22" s="99">
        <v>1182632</v>
      </c>
      <c r="N22" s="90">
        <v>1209342</v>
      </c>
      <c r="O22" s="99">
        <v>1239048</v>
      </c>
    </row>
    <row r="23" spans="1:15" x14ac:dyDescent="0.2">
      <c r="A23" s="84"/>
      <c r="C23" s="84" t="s">
        <v>163</v>
      </c>
      <c r="D23" s="84"/>
      <c r="E23" s="84"/>
      <c r="F23" s="84"/>
      <c r="G23" s="87">
        <v>498809</v>
      </c>
      <c r="H23" s="87">
        <v>499161</v>
      </c>
      <c r="I23" s="87">
        <v>499517</v>
      </c>
      <c r="J23" s="88">
        <v>499878</v>
      </c>
      <c r="K23" s="87">
        <v>698788</v>
      </c>
      <c r="L23" s="87">
        <v>699128</v>
      </c>
      <c r="M23" s="87">
        <v>699473</v>
      </c>
      <c r="N23" s="88">
        <v>699823</v>
      </c>
      <c r="O23" s="87">
        <v>0</v>
      </c>
    </row>
    <row r="24" spans="1:15" x14ac:dyDescent="0.2">
      <c r="A24" s="84"/>
      <c r="B24" s="84"/>
      <c r="C24" s="84"/>
      <c r="D24" s="84"/>
      <c r="E24" s="84"/>
      <c r="F24" s="84" t="s">
        <v>164</v>
      </c>
      <c r="G24" s="89">
        <f t="shared" ref="G24:O24" si="2">SUM(G19:G23)</f>
        <v>7853725</v>
      </c>
      <c r="H24" s="89">
        <f t="shared" si="2"/>
        <v>7626418</v>
      </c>
      <c r="I24" s="89">
        <f t="shared" si="2"/>
        <v>7939795</v>
      </c>
      <c r="J24" s="90">
        <f t="shared" si="2"/>
        <v>7805785</v>
      </c>
      <c r="K24" s="89">
        <f t="shared" si="2"/>
        <v>7961770</v>
      </c>
      <c r="L24" s="89">
        <f t="shared" si="2"/>
        <v>7832888</v>
      </c>
      <c r="M24" s="89">
        <f t="shared" si="2"/>
        <v>8049246</v>
      </c>
      <c r="N24" s="90">
        <f t="shared" si="2"/>
        <v>8488966</v>
      </c>
      <c r="O24" s="89">
        <f t="shared" si="2"/>
        <v>7739656</v>
      </c>
    </row>
    <row r="25" spans="1:15" x14ac:dyDescent="0.2">
      <c r="A25" s="91" t="s">
        <v>165</v>
      </c>
      <c r="B25" s="84"/>
      <c r="C25" s="84"/>
      <c r="D25" s="84"/>
      <c r="E25" s="84"/>
      <c r="F25" s="84"/>
      <c r="G25" s="89">
        <v>3206051</v>
      </c>
      <c r="H25" s="89">
        <v>3208164</v>
      </c>
      <c r="I25" s="89">
        <v>2926574</v>
      </c>
      <c r="J25" s="90">
        <v>2618084</v>
      </c>
      <c r="K25" s="89">
        <v>2465626</v>
      </c>
      <c r="L25" s="89">
        <v>2265286</v>
      </c>
      <c r="M25" s="89">
        <v>2301026</v>
      </c>
      <c r="N25" s="90">
        <v>3094213</v>
      </c>
      <c r="O25" s="89">
        <v>2945221</v>
      </c>
    </row>
    <row r="26" spans="1:15" x14ac:dyDescent="0.2">
      <c r="A26" s="84" t="s">
        <v>166</v>
      </c>
      <c r="B26" s="84"/>
      <c r="C26" s="84"/>
      <c r="D26" s="84"/>
      <c r="E26" s="84"/>
      <c r="F26" s="84"/>
      <c r="G26" s="89">
        <v>14170692</v>
      </c>
      <c r="H26" s="89">
        <v>15294998</v>
      </c>
      <c r="I26" s="89">
        <v>15547616</v>
      </c>
      <c r="J26" s="90">
        <v>15809095</v>
      </c>
      <c r="K26" s="89">
        <v>14860552</v>
      </c>
      <c r="L26" s="89">
        <v>14926889</v>
      </c>
      <c r="M26" s="89">
        <v>14793691</v>
      </c>
      <c r="N26" s="90">
        <v>14693072</v>
      </c>
      <c r="O26" s="89">
        <v>14534561</v>
      </c>
    </row>
    <row r="27" spans="1:15" x14ac:dyDescent="0.2">
      <c r="A27" s="84" t="s">
        <v>167</v>
      </c>
      <c r="B27" s="84"/>
      <c r="C27" s="84"/>
      <c r="D27" s="84"/>
      <c r="E27" s="84"/>
      <c r="F27" s="84"/>
      <c r="G27" s="100">
        <v>1420148</v>
      </c>
      <c r="H27" s="100">
        <v>1710948</v>
      </c>
      <c r="I27" s="100">
        <v>1875235</v>
      </c>
      <c r="J27" s="88">
        <v>1982155</v>
      </c>
      <c r="K27" s="100">
        <v>1950986</v>
      </c>
      <c r="L27" s="100">
        <v>2082035</v>
      </c>
      <c r="M27" s="100">
        <v>2281277</v>
      </c>
      <c r="N27" s="88">
        <v>2459164</v>
      </c>
      <c r="O27" s="100">
        <v>2567427</v>
      </c>
    </row>
    <row r="28" spans="1:15" x14ac:dyDescent="0.2">
      <c r="A28" s="84"/>
      <c r="B28" s="84"/>
      <c r="C28" s="84"/>
      <c r="D28" s="84"/>
      <c r="E28" s="84"/>
      <c r="F28" s="84" t="s">
        <v>168</v>
      </c>
      <c r="G28" s="89">
        <f t="shared" ref="G28:O28" si="3">SUM(G24:G27)</f>
        <v>26650616</v>
      </c>
      <c r="H28" s="89">
        <f t="shared" si="3"/>
        <v>27840528</v>
      </c>
      <c r="I28" s="89">
        <f t="shared" si="3"/>
        <v>28289220</v>
      </c>
      <c r="J28" s="90">
        <f t="shared" si="3"/>
        <v>28215119</v>
      </c>
      <c r="K28" s="89">
        <f t="shared" si="3"/>
        <v>27238934</v>
      </c>
      <c r="L28" s="89">
        <f t="shared" si="3"/>
        <v>27107098</v>
      </c>
      <c r="M28" s="89">
        <f t="shared" si="3"/>
        <v>27425240</v>
      </c>
      <c r="N28" s="90">
        <f t="shared" si="3"/>
        <v>28735415</v>
      </c>
      <c r="O28" s="89">
        <f t="shared" si="3"/>
        <v>27786865</v>
      </c>
    </row>
    <row r="29" spans="1:15" x14ac:dyDescent="0.2">
      <c r="A29" s="84" t="s">
        <v>169</v>
      </c>
      <c r="B29" s="84"/>
      <c r="C29" s="84"/>
      <c r="D29" s="84"/>
      <c r="E29" s="84"/>
      <c r="F29" s="84"/>
      <c r="G29" s="89"/>
      <c r="H29" s="89"/>
      <c r="I29" s="89"/>
      <c r="J29" s="90"/>
      <c r="K29" s="89"/>
      <c r="L29" s="89"/>
      <c r="M29" s="89"/>
      <c r="N29" s="90"/>
      <c r="O29" s="89"/>
    </row>
    <row r="30" spans="1:15" ht="12.75" customHeight="1" x14ac:dyDescent="0.2">
      <c r="A30" s="84"/>
      <c r="B30" s="84" t="s">
        <v>170</v>
      </c>
      <c r="C30" s="101"/>
      <c r="D30" s="101"/>
      <c r="E30" s="101"/>
      <c r="F30" s="101"/>
      <c r="G30" s="89">
        <v>2935532</v>
      </c>
      <c r="H30" s="89">
        <v>3127813</v>
      </c>
      <c r="I30" s="89">
        <v>3303482</v>
      </c>
      <c r="J30" s="90">
        <v>3447698</v>
      </c>
      <c r="K30" s="89">
        <v>3600084</v>
      </c>
      <c r="L30" s="89">
        <v>3721246</v>
      </c>
      <c r="M30" s="89">
        <v>3852531</v>
      </c>
      <c r="N30" s="90">
        <v>4024561</v>
      </c>
      <c r="O30" s="89">
        <v>4155580</v>
      </c>
    </row>
    <row r="31" spans="1:15" ht="12.75" customHeight="1" x14ac:dyDescent="0.2">
      <c r="A31" s="84"/>
      <c r="B31" s="84" t="s">
        <v>171</v>
      </c>
      <c r="C31" s="101"/>
      <c r="D31" s="101"/>
      <c r="E31" s="101"/>
      <c r="F31" s="101"/>
      <c r="G31" s="89">
        <v>0</v>
      </c>
      <c r="H31" s="89">
        <v>0</v>
      </c>
      <c r="I31" s="89">
        <v>0</v>
      </c>
      <c r="J31" s="90">
        <v>0</v>
      </c>
      <c r="K31" s="89">
        <v>0</v>
      </c>
      <c r="L31" s="89">
        <v>-500022</v>
      </c>
      <c r="M31" s="89">
        <v>-600022</v>
      </c>
      <c r="N31" s="90">
        <v>-824190</v>
      </c>
      <c r="O31" s="89">
        <v>-824190</v>
      </c>
    </row>
    <row r="32" spans="1:15" x14ac:dyDescent="0.2">
      <c r="A32" s="84"/>
      <c r="B32" s="84" t="s">
        <v>172</v>
      </c>
      <c r="C32" s="84"/>
      <c r="D32" s="84"/>
      <c r="E32" s="84"/>
      <c r="F32" s="84"/>
      <c r="G32" s="89">
        <v>-47054</v>
      </c>
      <c r="H32" s="89">
        <v>-34072</v>
      </c>
      <c r="I32" s="89">
        <v>-1147</v>
      </c>
      <c r="J32" s="90">
        <v>44398</v>
      </c>
      <c r="K32" s="89">
        <v>4137</v>
      </c>
      <c r="L32" s="89">
        <v>9775</v>
      </c>
      <c r="M32" s="89">
        <v>-19835</v>
      </c>
      <c r="N32" s="90">
        <v>-40495</v>
      </c>
      <c r="O32" s="89">
        <v>-74170</v>
      </c>
    </row>
    <row r="33" spans="1:15" x14ac:dyDescent="0.2">
      <c r="A33" s="84"/>
      <c r="B33" s="84" t="s">
        <v>173</v>
      </c>
      <c r="C33" s="84"/>
      <c r="D33" s="84"/>
      <c r="E33" s="84"/>
      <c r="F33" s="84"/>
      <c r="G33" s="100">
        <v>5520816</v>
      </c>
      <c r="H33" s="100">
        <v>6241012</v>
      </c>
      <c r="I33" s="100">
        <v>7030988</v>
      </c>
      <c r="J33" s="88">
        <v>7573144</v>
      </c>
      <c r="K33" s="100">
        <v>9279859</v>
      </c>
      <c r="L33" s="100">
        <v>10632872</v>
      </c>
      <c r="M33" s="100">
        <v>12081943</v>
      </c>
      <c r="N33" s="88">
        <v>12689372</v>
      </c>
      <c r="O33" s="100">
        <v>14286819</v>
      </c>
    </row>
    <row r="34" spans="1:15" ht="13.5" customHeight="1" x14ac:dyDescent="0.2">
      <c r="A34" s="84"/>
      <c r="B34" s="84"/>
      <c r="C34" s="84"/>
      <c r="D34" s="84"/>
      <c r="E34" s="84"/>
      <c r="F34" s="84" t="s">
        <v>174</v>
      </c>
      <c r="G34" s="89">
        <f t="shared" ref="G34:O34" si="4">SUM(G30:G33)</f>
        <v>8409294</v>
      </c>
      <c r="H34" s="89">
        <f t="shared" si="4"/>
        <v>9334753</v>
      </c>
      <c r="I34" s="89">
        <f t="shared" si="4"/>
        <v>10333323</v>
      </c>
      <c r="J34" s="90">
        <f t="shared" si="4"/>
        <v>11065240</v>
      </c>
      <c r="K34" s="89">
        <f t="shared" si="4"/>
        <v>12884080</v>
      </c>
      <c r="L34" s="89">
        <f t="shared" si="4"/>
        <v>13863871</v>
      </c>
      <c r="M34" s="89">
        <f t="shared" si="4"/>
        <v>15314617</v>
      </c>
      <c r="N34" s="90">
        <f t="shared" si="4"/>
        <v>15849248</v>
      </c>
      <c r="O34" s="89">
        <f t="shared" si="4"/>
        <v>17544039</v>
      </c>
    </row>
    <row r="35" spans="1:15" s="95" customFormat="1" ht="13.5" thickBot="1" x14ac:dyDescent="0.25">
      <c r="A35" s="83"/>
      <c r="B35" s="83"/>
      <c r="C35" s="83"/>
      <c r="D35" s="83"/>
      <c r="E35" s="83"/>
      <c r="F35" s="83" t="s">
        <v>175</v>
      </c>
      <c r="G35" s="93">
        <f t="shared" ref="G35:O35" si="5">G28+G34</f>
        <v>35059910</v>
      </c>
      <c r="H35" s="93">
        <f t="shared" si="5"/>
        <v>37175281</v>
      </c>
      <c r="I35" s="93">
        <f t="shared" si="5"/>
        <v>38622543</v>
      </c>
      <c r="J35" s="94">
        <f t="shared" si="5"/>
        <v>39280359</v>
      </c>
      <c r="K35" s="93">
        <f t="shared" si="5"/>
        <v>40123014</v>
      </c>
      <c r="L35" s="93">
        <f t="shared" si="5"/>
        <v>40970969</v>
      </c>
      <c r="M35" s="93">
        <f t="shared" si="5"/>
        <v>42739857</v>
      </c>
      <c r="N35" s="94">
        <f t="shared" si="5"/>
        <v>44584663</v>
      </c>
      <c r="O35" s="93">
        <f t="shared" si="5"/>
        <v>45330904</v>
      </c>
    </row>
    <row r="36" spans="1:15" s="95" customFormat="1" x14ac:dyDescent="0.2">
      <c r="A36" s="83"/>
      <c r="B36" s="83"/>
      <c r="C36" s="83"/>
      <c r="D36" s="83"/>
      <c r="E36" s="83"/>
      <c r="F36" s="83"/>
      <c r="G36" s="102"/>
      <c r="H36" s="102"/>
      <c r="I36" s="102"/>
      <c r="J36" s="102"/>
      <c r="K36" s="102"/>
      <c r="L36" s="102"/>
      <c r="M36" s="102"/>
      <c r="N36" s="102"/>
      <c r="O36" s="102"/>
    </row>
    <row r="37" spans="1:15" x14ac:dyDescent="0.2">
      <c r="A37" s="84"/>
      <c r="B37" s="84"/>
      <c r="C37" s="84"/>
      <c r="D37" s="84"/>
      <c r="E37" s="84"/>
      <c r="F37" s="103"/>
    </row>
    <row r="38" spans="1:15" x14ac:dyDescent="0.2">
      <c r="A38" s="84"/>
      <c r="B38" s="84"/>
      <c r="C38" s="84"/>
      <c r="D38" s="84"/>
      <c r="E38" s="84"/>
      <c r="F38" s="104"/>
    </row>
    <row r="39" spans="1:15" x14ac:dyDescent="0.2">
      <c r="A39" s="84"/>
      <c r="B39" s="84"/>
      <c r="C39" s="84"/>
      <c r="D39" s="84"/>
      <c r="E39" s="84"/>
      <c r="F39" s="103"/>
    </row>
    <row r="40" spans="1:15" x14ac:dyDescent="0.2">
      <c r="A40" s="84"/>
      <c r="B40" s="84"/>
      <c r="C40" s="84"/>
      <c r="D40" s="84"/>
      <c r="E40" s="84"/>
      <c r="F40" s="103"/>
    </row>
    <row r="41" spans="1:15" x14ac:dyDescent="0.2">
      <c r="A41" s="84"/>
      <c r="B41" s="84"/>
      <c r="C41" s="84"/>
      <c r="D41" s="84"/>
      <c r="E41" s="84"/>
      <c r="F41" s="103"/>
    </row>
    <row r="42" spans="1:15" x14ac:dyDescent="0.2">
      <c r="A42" s="84"/>
      <c r="B42" s="84"/>
      <c r="C42" s="84"/>
      <c r="D42" s="84"/>
      <c r="E42" s="84"/>
      <c r="F42" s="103"/>
    </row>
    <row r="43" spans="1:15" x14ac:dyDescent="0.2">
      <c r="A43" s="83"/>
      <c r="B43" s="83"/>
      <c r="C43" s="84"/>
      <c r="D43" s="84"/>
      <c r="E43" s="84"/>
      <c r="F43" s="103"/>
    </row>
    <row r="44" spans="1:15" x14ac:dyDescent="0.2">
      <c r="A44" s="84"/>
      <c r="B44" s="84"/>
      <c r="C44" s="84"/>
      <c r="D44" s="84"/>
      <c r="E44" s="84"/>
      <c r="F44" s="103"/>
    </row>
    <row r="45" spans="1:15" x14ac:dyDescent="0.2">
      <c r="A45" s="83"/>
      <c r="B45" s="83"/>
      <c r="C45" s="84"/>
      <c r="D45" s="84"/>
      <c r="E45" s="84"/>
      <c r="F45" s="103"/>
    </row>
    <row r="46" spans="1:15" x14ac:dyDescent="0.2">
      <c r="A46" s="84"/>
      <c r="B46" s="84"/>
      <c r="C46" s="84"/>
      <c r="D46" s="84"/>
      <c r="E46" s="84"/>
      <c r="F46" s="103"/>
    </row>
    <row r="47" spans="1:15" x14ac:dyDescent="0.2">
      <c r="A47" s="84"/>
      <c r="B47" s="84"/>
      <c r="C47" s="84"/>
      <c r="D47" s="84"/>
      <c r="E47" s="84"/>
      <c r="F47" s="103"/>
    </row>
    <row r="48" spans="1:15" x14ac:dyDescent="0.2">
      <c r="A48" s="84"/>
      <c r="B48" s="83"/>
      <c r="C48" s="84"/>
      <c r="D48" s="84"/>
      <c r="E48" s="84"/>
      <c r="F48" s="103"/>
    </row>
    <row r="49" spans="1:6" x14ac:dyDescent="0.2">
      <c r="A49" s="84"/>
      <c r="B49" s="84"/>
      <c r="C49" s="84"/>
      <c r="D49" s="84"/>
      <c r="E49" s="84"/>
      <c r="F49" s="103"/>
    </row>
    <row r="50" spans="1:6" x14ac:dyDescent="0.2">
      <c r="A50" s="84"/>
      <c r="B50" s="84"/>
      <c r="C50" s="84"/>
      <c r="D50" s="84"/>
      <c r="E50" s="84"/>
      <c r="F50" s="103"/>
    </row>
    <row r="51" spans="1:6" x14ac:dyDescent="0.2">
      <c r="A51" s="84"/>
      <c r="B51" s="84"/>
      <c r="C51" s="84"/>
      <c r="D51" s="84"/>
      <c r="E51" s="84"/>
      <c r="F51" s="84"/>
    </row>
    <row r="52" spans="1:6" x14ac:dyDescent="0.2">
      <c r="A52" s="84"/>
      <c r="B52" s="84"/>
      <c r="C52" s="84"/>
      <c r="D52" s="84"/>
      <c r="E52" s="84"/>
      <c r="F52" s="84"/>
    </row>
    <row r="53" spans="1:6" x14ac:dyDescent="0.2">
      <c r="A53" s="84"/>
      <c r="B53" s="84"/>
      <c r="C53" s="84"/>
      <c r="D53" s="84"/>
      <c r="E53" s="84"/>
      <c r="F53" s="84"/>
    </row>
    <row r="54" spans="1:6" x14ac:dyDescent="0.2">
      <c r="A54" s="84"/>
      <c r="B54" s="84"/>
      <c r="C54" s="84"/>
      <c r="D54" s="84"/>
      <c r="E54" s="84"/>
      <c r="F54" s="84"/>
    </row>
    <row r="55" spans="1:6" x14ac:dyDescent="0.2">
      <c r="A55" s="84"/>
      <c r="B55" s="84"/>
      <c r="C55" s="84"/>
      <c r="D55" s="84"/>
      <c r="E55" s="84"/>
      <c r="F55" s="84"/>
    </row>
    <row r="56" spans="1:6" x14ac:dyDescent="0.2">
      <c r="A56" s="84"/>
      <c r="B56" s="84"/>
      <c r="C56" s="84"/>
      <c r="D56" s="84"/>
      <c r="E56" s="84"/>
      <c r="F56" s="84"/>
    </row>
    <row r="57" spans="1:6" x14ac:dyDescent="0.2">
      <c r="A57" s="84"/>
      <c r="B57" s="84"/>
      <c r="C57" s="84"/>
      <c r="D57" s="84"/>
      <c r="E57" s="84"/>
      <c r="F57" s="84"/>
    </row>
    <row r="58" spans="1:6" x14ac:dyDescent="0.2">
      <c r="A58" s="84"/>
      <c r="B58" s="84"/>
      <c r="C58" s="84"/>
      <c r="D58" s="84"/>
      <c r="E58" s="84"/>
      <c r="F58" s="84"/>
    </row>
  </sheetData>
  <pageMargins left="0.2" right="0.17" top="0.5" bottom="0.75" header="0.5" footer="0.5"/>
  <pageSetup scale="77" orientation="landscape" r:id="rId1"/>
  <headerFooter alignWithMargins="0"/>
  <rowBreaks count="1" manualBreakCount="1">
    <brk id="34" max="16383" man="1"/>
  </rowBreaks>
  <colBreaks count="1" manualBreakCount="1">
    <brk id="9" max="1048575"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35B4-5BB3-41E4-ABA6-ED1839044E8C}">
  <sheetPr codeName="Sheet13">
    <pageSetUpPr fitToPage="1"/>
  </sheetPr>
  <dimension ref="A1:T50"/>
  <sheetViews>
    <sheetView zoomScale="110" zoomScaleNormal="110" zoomScaleSheetLayoutView="100" zoomScalePageLayoutView="150" workbookViewId="0">
      <pane xSplit="7" ySplit="7" topLeftCell="H8" activePane="bottomRight" state="frozen"/>
      <selection activeCell="F19" sqref="F19"/>
      <selection pane="topRight" activeCell="F19" sqref="F19"/>
      <selection pane="bottomLeft" activeCell="F19" sqref="F19"/>
      <selection pane="bottomRight" activeCell="T13" sqref="T13"/>
    </sheetView>
  </sheetViews>
  <sheetFormatPr defaultColWidth="1.42578125" defaultRowHeight="12.75" x14ac:dyDescent="0.2"/>
  <cols>
    <col min="1" max="5" width="1.42578125" style="47" customWidth="1"/>
    <col min="6" max="6" width="1.28515625" style="47" customWidth="1"/>
    <col min="7" max="7" width="54.140625" style="47" customWidth="1"/>
    <col min="8" max="11" width="17.5703125" style="47" customWidth="1"/>
    <col min="12" max="12" width="18.85546875" style="47" customWidth="1"/>
    <col min="13" max="16" width="17.5703125" style="47" customWidth="1"/>
    <col min="17" max="17" width="18.85546875" style="47" customWidth="1"/>
    <col min="18" max="18" width="17.5703125" style="47" bestFit="1" customWidth="1"/>
    <col min="19" max="19" width="9.140625" style="47" customWidth="1"/>
    <col min="20" max="20" width="11.5703125" style="47" bestFit="1" customWidth="1"/>
    <col min="21" max="211" width="9.140625" style="47" customWidth="1"/>
    <col min="212" max="16384" width="1.42578125" style="47"/>
  </cols>
  <sheetData>
    <row r="1" spans="1:20" ht="15.75" x14ac:dyDescent="0.25">
      <c r="A1" s="45" t="s">
        <v>120</v>
      </c>
      <c r="B1" s="80"/>
      <c r="C1" s="80"/>
      <c r="D1" s="80"/>
      <c r="E1" s="80"/>
      <c r="F1" s="80"/>
    </row>
    <row r="2" spans="1:20" ht="15.75" x14ac:dyDescent="0.25">
      <c r="A2" s="45" t="s">
        <v>176</v>
      </c>
      <c r="B2" s="80"/>
      <c r="C2" s="80"/>
      <c r="D2" s="80"/>
      <c r="E2" s="80"/>
      <c r="F2" s="80"/>
    </row>
    <row r="3" spans="1:20" x14ac:dyDescent="0.2">
      <c r="A3" s="105" t="s">
        <v>122</v>
      </c>
      <c r="B3" s="80"/>
      <c r="C3" s="80"/>
      <c r="D3" s="80"/>
      <c r="E3" s="80"/>
      <c r="F3" s="80"/>
    </row>
    <row r="4" spans="1:20" x14ac:dyDescent="0.2">
      <c r="A4" s="105" t="s">
        <v>147</v>
      </c>
      <c r="B4" s="48"/>
      <c r="C4" s="48"/>
      <c r="D4" s="48"/>
      <c r="E4" s="48"/>
      <c r="F4" s="48"/>
    </row>
    <row r="5" spans="1:20" ht="12.75" customHeight="1" x14ac:dyDescent="0.2">
      <c r="A5" s="105"/>
      <c r="B5" s="48"/>
      <c r="C5" s="48"/>
      <c r="D5" s="48"/>
      <c r="E5" s="48"/>
      <c r="F5" s="48"/>
      <c r="H5" s="435" t="s">
        <v>124</v>
      </c>
      <c r="I5" s="435"/>
      <c r="J5" s="435"/>
      <c r="K5" s="435"/>
      <c r="L5" s="106" t="s">
        <v>125</v>
      </c>
      <c r="M5" s="436" t="s">
        <v>124</v>
      </c>
      <c r="N5" s="436"/>
      <c r="O5" s="436"/>
      <c r="P5" s="436"/>
      <c r="Q5" s="106" t="s">
        <v>125</v>
      </c>
      <c r="R5" s="107" t="s">
        <v>124</v>
      </c>
    </row>
    <row r="6" spans="1:20" x14ac:dyDescent="0.2">
      <c r="A6" s="108"/>
      <c r="B6" s="48"/>
      <c r="C6" s="48"/>
      <c r="D6" s="48"/>
      <c r="E6" s="48"/>
      <c r="F6" s="48"/>
      <c r="H6" s="52" t="s">
        <v>126</v>
      </c>
      <c r="I6" s="52" t="s">
        <v>127</v>
      </c>
      <c r="J6" s="52" t="s">
        <v>128</v>
      </c>
      <c r="K6" s="52" t="s">
        <v>129</v>
      </c>
      <c r="L6" s="53" t="s">
        <v>129</v>
      </c>
      <c r="M6" s="52" t="s">
        <v>126</v>
      </c>
      <c r="N6" s="52" t="s">
        <v>127</v>
      </c>
      <c r="O6" s="52" t="s">
        <v>128</v>
      </c>
      <c r="P6" s="52" t="s">
        <v>129</v>
      </c>
      <c r="Q6" s="53" t="s">
        <v>129</v>
      </c>
      <c r="R6" s="52" t="s">
        <v>126</v>
      </c>
    </row>
    <row r="7" spans="1:20" x14ac:dyDescent="0.2">
      <c r="A7" s="108"/>
      <c r="B7" s="48"/>
      <c r="C7" s="48"/>
      <c r="D7" s="48"/>
      <c r="E7" s="48"/>
      <c r="F7" s="48"/>
      <c r="H7" s="54">
        <v>2020</v>
      </c>
      <c r="I7" s="54">
        <v>2020</v>
      </c>
      <c r="J7" s="54">
        <v>2020</v>
      </c>
      <c r="K7" s="54">
        <v>2020</v>
      </c>
      <c r="L7" s="109">
        <v>2020</v>
      </c>
      <c r="M7" s="54">
        <v>2021</v>
      </c>
      <c r="N7" s="54">
        <v>2021</v>
      </c>
      <c r="O7" s="54">
        <v>2021</v>
      </c>
      <c r="P7" s="54">
        <v>2021</v>
      </c>
      <c r="Q7" s="109">
        <v>2021</v>
      </c>
      <c r="R7" s="54">
        <v>2022</v>
      </c>
    </row>
    <row r="8" spans="1:20" x14ac:dyDescent="0.2">
      <c r="A8" s="110" t="s">
        <v>177</v>
      </c>
      <c r="B8" s="83"/>
      <c r="C8" s="83"/>
      <c r="D8" s="83"/>
      <c r="E8" s="84"/>
      <c r="F8" s="84"/>
      <c r="L8" s="57"/>
      <c r="Q8" s="57"/>
    </row>
    <row r="9" spans="1:20" x14ac:dyDescent="0.2">
      <c r="A9" s="89"/>
      <c r="B9" s="84" t="s">
        <v>141</v>
      </c>
      <c r="C9" s="84"/>
      <c r="D9" s="84"/>
      <c r="E9" s="84"/>
      <c r="F9" s="84"/>
      <c r="H9" s="111">
        <v>709067</v>
      </c>
      <c r="I9" s="111">
        <v>720196</v>
      </c>
      <c r="J9" s="111">
        <v>789976</v>
      </c>
      <c r="K9" s="111">
        <v>542156</v>
      </c>
      <c r="L9" s="112">
        <f>SUM(H9:K9)</f>
        <v>2761395</v>
      </c>
      <c r="M9" s="111">
        <v>1706715</v>
      </c>
      <c r="N9" s="111">
        <v>1353013</v>
      </c>
      <c r="O9" s="111">
        <v>1449071</v>
      </c>
      <c r="P9" s="111">
        <v>607429</v>
      </c>
      <c r="Q9" s="112">
        <f>SUM(M9:P9)</f>
        <v>5116228</v>
      </c>
      <c r="R9" s="111">
        <v>1597447</v>
      </c>
    </row>
    <row r="10" spans="1:20" x14ac:dyDescent="0.2">
      <c r="A10" s="108"/>
      <c r="B10" s="84" t="s">
        <v>178</v>
      </c>
      <c r="C10" s="84"/>
      <c r="D10" s="84"/>
      <c r="E10" s="84"/>
      <c r="F10" s="84"/>
      <c r="H10" s="113"/>
      <c r="I10" s="113"/>
      <c r="J10" s="113"/>
      <c r="K10" s="113"/>
      <c r="L10" s="114"/>
      <c r="M10" s="113"/>
      <c r="N10" s="113"/>
      <c r="O10" s="113"/>
      <c r="P10" s="113"/>
      <c r="Q10" s="114"/>
      <c r="R10" s="113"/>
    </row>
    <row r="11" spans="1:20" x14ac:dyDescent="0.2">
      <c r="A11" s="108"/>
      <c r="B11" s="84"/>
      <c r="C11" s="84" t="s">
        <v>179</v>
      </c>
      <c r="D11" s="84"/>
      <c r="E11" s="84"/>
      <c r="F11" s="84"/>
      <c r="H11" s="113"/>
      <c r="I11" s="113"/>
      <c r="J11" s="113"/>
      <c r="K11" s="113"/>
      <c r="L11" s="114"/>
      <c r="M11" s="113"/>
      <c r="N11" s="113"/>
      <c r="O11" s="113"/>
      <c r="P11" s="113"/>
      <c r="Q11" s="114"/>
      <c r="R11" s="113"/>
    </row>
    <row r="12" spans="1:20" x14ac:dyDescent="0.2">
      <c r="A12" s="316"/>
      <c r="B12" s="317"/>
      <c r="C12" s="317"/>
      <c r="D12" s="317" t="s">
        <v>180</v>
      </c>
      <c r="E12" s="317"/>
      <c r="F12" s="317"/>
      <c r="G12" s="318"/>
      <c r="H12" s="319">
        <v>-3294275</v>
      </c>
      <c r="I12" s="319">
        <v>-2510782</v>
      </c>
      <c r="J12" s="319">
        <v>-2653886</v>
      </c>
      <c r="K12" s="319">
        <v>-3320341</v>
      </c>
      <c r="L12" s="320">
        <f t="shared" ref="L12:L16" si="0">SUM(H12:K12)</f>
        <v>-11779284</v>
      </c>
      <c r="M12" s="319">
        <v>-3284576</v>
      </c>
      <c r="N12" s="319">
        <v>-4096750</v>
      </c>
      <c r="O12" s="319">
        <v>-4666237</v>
      </c>
      <c r="P12" s="319">
        <v>-5654639</v>
      </c>
      <c r="Q12" s="320">
        <f t="shared" ref="Q12:Q19" si="1">SUM(M12:P12)</f>
        <v>-17702202</v>
      </c>
      <c r="R12" s="319">
        <v>-3584164</v>
      </c>
      <c r="T12" s="47" t="s">
        <v>273</v>
      </c>
    </row>
    <row r="13" spans="1:20" x14ac:dyDescent="0.2">
      <c r="A13" s="108"/>
      <c r="B13" s="84"/>
      <c r="C13" s="84"/>
      <c r="D13" s="84" t="s">
        <v>181</v>
      </c>
      <c r="E13" s="84"/>
      <c r="F13" s="84"/>
      <c r="H13" s="113">
        <v>258945</v>
      </c>
      <c r="I13" s="113">
        <v>-108432</v>
      </c>
      <c r="J13" s="113">
        <v>-379458</v>
      </c>
      <c r="K13" s="113">
        <v>-528488</v>
      </c>
      <c r="L13" s="114">
        <f t="shared" si="0"/>
        <v>-757433</v>
      </c>
      <c r="M13" s="113">
        <v>-266040</v>
      </c>
      <c r="N13" s="113">
        <v>-312208</v>
      </c>
      <c r="O13" s="113">
        <v>-29246</v>
      </c>
      <c r="P13" s="113">
        <v>840392</v>
      </c>
      <c r="Q13" s="114">
        <f t="shared" si="1"/>
        <v>232898</v>
      </c>
      <c r="R13" s="113">
        <v>-347149</v>
      </c>
      <c r="S13" s="47">
        <v>2021</v>
      </c>
      <c r="T13" s="63">
        <f>SUM(Q12,Q28, Q29)</f>
        <v>-18253706</v>
      </c>
    </row>
    <row r="14" spans="1:20" s="318" customFormat="1" x14ac:dyDescent="0.2">
      <c r="A14" s="316"/>
      <c r="B14" s="317"/>
      <c r="C14" s="317"/>
      <c r="D14" s="317" t="s">
        <v>182</v>
      </c>
      <c r="E14" s="317"/>
      <c r="F14" s="317"/>
      <c r="H14" s="319">
        <v>2483385</v>
      </c>
      <c r="I14" s="319">
        <v>2607159</v>
      </c>
      <c r="J14" s="319">
        <v>2733743</v>
      </c>
      <c r="K14" s="319">
        <v>2982625</v>
      </c>
      <c r="L14" s="320">
        <f t="shared" si="0"/>
        <v>10806912</v>
      </c>
      <c r="M14" s="319">
        <v>2719196</v>
      </c>
      <c r="N14" s="319">
        <v>2806803</v>
      </c>
      <c r="O14" s="319">
        <v>2963051</v>
      </c>
      <c r="P14" s="319">
        <v>3741317</v>
      </c>
      <c r="Q14" s="320">
        <f t="shared" si="1"/>
        <v>12230367</v>
      </c>
      <c r="R14" s="319">
        <v>3166365</v>
      </c>
      <c r="S14" s="318">
        <v>2020</v>
      </c>
    </row>
    <row r="15" spans="1:20" s="318" customFormat="1" x14ac:dyDescent="0.2">
      <c r="A15" s="316"/>
      <c r="B15" s="317"/>
      <c r="C15" s="317"/>
      <c r="D15" s="317" t="s">
        <v>183</v>
      </c>
      <c r="E15" s="317"/>
      <c r="F15" s="317"/>
      <c r="H15" s="319">
        <v>28517</v>
      </c>
      <c r="I15" s="319">
        <v>26661</v>
      </c>
      <c r="J15" s="319">
        <v>28589</v>
      </c>
      <c r="K15" s="319">
        <v>31943</v>
      </c>
      <c r="L15" s="320">
        <f t="shared" si="0"/>
        <v>115710</v>
      </c>
      <c r="M15" s="319">
        <v>35741</v>
      </c>
      <c r="N15" s="319">
        <v>38434</v>
      </c>
      <c r="O15" s="319">
        <v>70253</v>
      </c>
      <c r="P15" s="319">
        <v>63984</v>
      </c>
      <c r="Q15" s="320">
        <f t="shared" si="1"/>
        <v>208412</v>
      </c>
      <c r="R15" s="319">
        <v>74602</v>
      </c>
    </row>
    <row r="16" spans="1:20" x14ac:dyDescent="0.2">
      <c r="A16" s="105"/>
      <c r="B16" s="84"/>
      <c r="C16" s="84"/>
      <c r="D16" s="84" t="s">
        <v>184</v>
      </c>
      <c r="E16" s="84"/>
      <c r="F16" s="84"/>
      <c r="H16" s="113">
        <v>97019</v>
      </c>
      <c r="I16" s="113">
        <v>104210</v>
      </c>
      <c r="J16" s="113">
        <v>106357</v>
      </c>
      <c r="K16" s="113">
        <v>107594</v>
      </c>
      <c r="L16" s="114">
        <f t="shared" si="0"/>
        <v>415180</v>
      </c>
      <c r="M16" s="113">
        <v>107230</v>
      </c>
      <c r="N16" s="113">
        <v>101583</v>
      </c>
      <c r="O16" s="113">
        <v>95078</v>
      </c>
      <c r="P16" s="113">
        <v>99329</v>
      </c>
      <c r="Q16" s="114">
        <f t="shared" si="1"/>
        <v>403220</v>
      </c>
      <c r="R16" s="113">
        <v>119209</v>
      </c>
    </row>
    <row r="17" spans="1:18" x14ac:dyDescent="0.2">
      <c r="A17" s="89"/>
      <c r="B17" s="84"/>
      <c r="C17" s="84"/>
      <c r="D17" s="84" t="s">
        <v>185</v>
      </c>
      <c r="E17" s="84"/>
      <c r="F17" s="84"/>
      <c r="H17" s="113">
        <v>-93060</v>
      </c>
      <c r="I17" s="113">
        <v>119161</v>
      </c>
      <c r="J17" s="113">
        <v>249194</v>
      </c>
      <c r="K17" s="113">
        <v>257983</v>
      </c>
      <c r="L17" s="114">
        <f>SUM(H17:K17)</f>
        <v>533278</v>
      </c>
      <c r="M17" s="113">
        <v>-253330</v>
      </c>
      <c r="N17" s="113">
        <v>63074</v>
      </c>
      <c r="O17" s="113">
        <v>-136488</v>
      </c>
      <c r="P17" s="113">
        <v>-103917</v>
      </c>
      <c r="Q17" s="114">
        <f t="shared" si="1"/>
        <v>-430661</v>
      </c>
      <c r="R17" s="113">
        <v>-161821</v>
      </c>
    </row>
    <row r="18" spans="1:18" x14ac:dyDescent="0.2">
      <c r="A18" s="89"/>
      <c r="B18" s="84"/>
      <c r="C18" s="84"/>
      <c r="D18" s="84" t="s">
        <v>186</v>
      </c>
      <c r="E18" s="84"/>
      <c r="F18" s="84"/>
      <c r="H18" s="113">
        <v>65448</v>
      </c>
      <c r="I18" s="113">
        <v>70301</v>
      </c>
      <c r="J18" s="113">
        <v>83851</v>
      </c>
      <c r="K18" s="113">
        <v>73526</v>
      </c>
      <c r="L18" s="114">
        <f>SUM(H18:K18)</f>
        <v>293126</v>
      </c>
      <c r="M18" s="113">
        <v>72657</v>
      </c>
      <c r="N18" s="113">
        <v>108103</v>
      </c>
      <c r="O18" s="113">
        <v>102211</v>
      </c>
      <c r="P18" s="113">
        <v>93806</v>
      </c>
      <c r="Q18" s="114">
        <f t="shared" si="1"/>
        <v>376777</v>
      </c>
      <c r="R18" s="113">
        <v>101968</v>
      </c>
    </row>
    <row r="19" spans="1:18" x14ac:dyDescent="0.2">
      <c r="A19" s="89"/>
      <c r="B19" s="84"/>
      <c r="C19" s="84"/>
      <c r="D19" s="84" t="s">
        <v>187</v>
      </c>
      <c r="E19" s="84"/>
      <c r="F19" s="84"/>
      <c r="H19" s="113">
        <v>46619</v>
      </c>
      <c r="I19" s="113">
        <v>223308</v>
      </c>
      <c r="J19" s="113">
        <v>-40277</v>
      </c>
      <c r="K19" s="113">
        <v>-159584</v>
      </c>
      <c r="L19" s="114">
        <f t="shared" ref="L19" si="2">SUM(H19:K19)</f>
        <v>70066</v>
      </c>
      <c r="M19" s="113">
        <v>159733</v>
      </c>
      <c r="N19" s="113">
        <v>51127</v>
      </c>
      <c r="O19" s="113">
        <v>50967</v>
      </c>
      <c r="P19" s="113">
        <v>-62279</v>
      </c>
      <c r="Q19" s="114">
        <f t="shared" si="1"/>
        <v>199548</v>
      </c>
      <c r="R19" s="113">
        <v>-68906</v>
      </c>
    </row>
    <row r="20" spans="1:18" x14ac:dyDescent="0.2">
      <c r="A20" s="105"/>
      <c r="B20" s="84"/>
      <c r="C20" s="84"/>
      <c r="D20" s="84" t="s">
        <v>188</v>
      </c>
      <c r="E20" s="84"/>
      <c r="F20" s="84"/>
      <c r="H20" s="113"/>
      <c r="I20" s="113"/>
      <c r="J20" s="113"/>
      <c r="L20" s="114"/>
      <c r="M20" s="113"/>
      <c r="N20" s="113"/>
      <c r="O20" s="113"/>
      <c r="P20" s="113"/>
      <c r="Q20" s="114"/>
      <c r="R20" s="113"/>
    </row>
    <row r="21" spans="1:18" x14ac:dyDescent="0.2">
      <c r="A21" s="108"/>
      <c r="B21" s="84"/>
      <c r="C21" s="84"/>
      <c r="D21" s="84"/>
      <c r="E21" s="84" t="s">
        <v>151</v>
      </c>
      <c r="F21" s="84"/>
      <c r="H21" s="113">
        <v>-127353</v>
      </c>
      <c r="I21" s="113">
        <v>3066</v>
      </c>
      <c r="J21" s="113">
        <v>-22974</v>
      </c>
      <c r="K21" s="113">
        <v>-40362</v>
      </c>
      <c r="L21" s="114">
        <f>SUM(H21:K21)</f>
        <v>-187623</v>
      </c>
      <c r="M21" s="113">
        <v>-221555</v>
      </c>
      <c r="N21" s="113">
        <v>-52373</v>
      </c>
      <c r="O21" s="113">
        <v>-95145</v>
      </c>
      <c r="P21" s="113">
        <v>-608</v>
      </c>
      <c r="Q21" s="114">
        <f t="shared" ref="Q21:Q25" si="3">SUM(M21:P21)</f>
        <v>-369681</v>
      </c>
      <c r="R21" s="113">
        <v>41157</v>
      </c>
    </row>
    <row r="22" spans="1:18" x14ac:dyDescent="0.2">
      <c r="A22" s="105"/>
      <c r="B22" s="84"/>
      <c r="C22" s="84"/>
      <c r="D22" s="84"/>
      <c r="E22" s="84" t="s">
        <v>160</v>
      </c>
      <c r="F22" s="84"/>
      <c r="H22" s="113">
        <v>-149153</v>
      </c>
      <c r="I22" s="113">
        <v>-112027</v>
      </c>
      <c r="J22" s="113">
        <v>111677</v>
      </c>
      <c r="K22" s="113">
        <v>107898</v>
      </c>
      <c r="L22" s="114">
        <f>SUM(H22:K22)</f>
        <v>-41605</v>
      </c>
      <c r="M22" s="113">
        <v>-137313</v>
      </c>
      <c r="N22" s="113">
        <v>72313</v>
      </c>
      <c r="O22" s="113">
        <v>24836</v>
      </c>
      <c r="P22" s="113">
        <v>185279</v>
      </c>
      <c r="Q22" s="114">
        <f t="shared" si="3"/>
        <v>145115</v>
      </c>
      <c r="R22" s="113">
        <v>-215444</v>
      </c>
    </row>
    <row r="23" spans="1:18" x14ac:dyDescent="0.2">
      <c r="A23" s="105"/>
      <c r="B23" s="84"/>
      <c r="C23" s="84"/>
      <c r="D23" s="84"/>
      <c r="E23" s="84" t="s">
        <v>161</v>
      </c>
      <c r="F23" s="84"/>
      <c r="H23" s="113">
        <v>214191</v>
      </c>
      <c r="I23" s="113">
        <v>-105450</v>
      </c>
      <c r="J23" s="113">
        <v>266027</v>
      </c>
      <c r="K23" s="113">
        <v>-176585</v>
      </c>
      <c r="L23" s="114">
        <f>SUM(H23:K23)</f>
        <v>198183</v>
      </c>
      <c r="M23" s="113">
        <v>177897</v>
      </c>
      <c r="N23" s="113">
        <v>-171430</v>
      </c>
      <c r="O23" s="113">
        <v>269774</v>
      </c>
      <c r="P23" s="113">
        <v>-95903</v>
      </c>
      <c r="Q23" s="114">
        <f t="shared" si="3"/>
        <v>180338</v>
      </c>
      <c r="R23" s="113">
        <v>350763</v>
      </c>
    </row>
    <row r="24" spans="1:18" x14ac:dyDescent="0.2">
      <c r="A24" s="108"/>
      <c r="B24" s="84"/>
      <c r="C24" s="84"/>
      <c r="D24" s="84"/>
      <c r="E24" s="84" t="s">
        <v>162</v>
      </c>
      <c r="F24" s="84"/>
      <c r="H24" s="113">
        <v>62008</v>
      </c>
      <c r="I24" s="113">
        <v>42508</v>
      </c>
      <c r="J24" s="113">
        <v>10941</v>
      </c>
      <c r="K24" s="113">
        <v>77790</v>
      </c>
      <c r="L24" s="114">
        <f>SUM(H24:K24)</f>
        <v>193247</v>
      </c>
      <c r="M24" s="113">
        <v>22279</v>
      </c>
      <c r="N24" s="113">
        <v>47093</v>
      </c>
      <c r="O24" s="113">
        <v>-4732</v>
      </c>
      <c r="P24" s="113">
        <v>26710</v>
      </c>
      <c r="Q24" s="114">
        <f t="shared" si="3"/>
        <v>91350</v>
      </c>
      <c r="R24" s="113">
        <v>16743</v>
      </c>
    </row>
    <row r="25" spans="1:18" x14ac:dyDescent="0.2">
      <c r="A25" s="105"/>
      <c r="B25" s="84"/>
      <c r="C25" s="84"/>
      <c r="D25" s="84"/>
      <c r="E25" s="84" t="s">
        <v>189</v>
      </c>
      <c r="F25" s="84"/>
      <c r="H25" s="115">
        <v>-41446</v>
      </c>
      <c r="I25" s="115">
        <v>-38803</v>
      </c>
      <c r="J25" s="105">
        <v>-19999</v>
      </c>
      <c r="K25" s="105">
        <v>-93827</v>
      </c>
      <c r="L25" s="114">
        <f>SUM(H25:K25)</f>
        <v>-194075</v>
      </c>
      <c r="M25" s="115">
        <v>-61368</v>
      </c>
      <c r="N25" s="115">
        <v>-72543</v>
      </c>
      <c r="O25" s="115">
        <v>-11014</v>
      </c>
      <c r="P25" s="105">
        <v>-144174</v>
      </c>
      <c r="Q25" s="114">
        <f t="shared" si="3"/>
        <v>-289099</v>
      </c>
      <c r="R25" s="115">
        <v>-167931</v>
      </c>
    </row>
    <row r="26" spans="1:18" x14ac:dyDescent="0.2">
      <c r="A26" s="89"/>
      <c r="B26" s="84"/>
      <c r="C26" s="84"/>
      <c r="D26" s="84"/>
      <c r="E26" s="84"/>
      <c r="F26" s="84"/>
      <c r="G26" s="84" t="s">
        <v>190</v>
      </c>
      <c r="H26" s="116">
        <f t="shared" ref="H26:R26" si="4">SUM(H9:H25)</f>
        <v>259912</v>
      </c>
      <c r="I26" s="116">
        <f t="shared" si="4"/>
        <v>1041076</v>
      </c>
      <c r="J26" s="116">
        <f t="shared" si="4"/>
        <v>1263761</v>
      </c>
      <c r="K26" s="116">
        <f t="shared" si="4"/>
        <v>-137672</v>
      </c>
      <c r="L26" s="117">
        <f t="shared" si="4"/>
        <v>2427077</v>
      </c>
      <c r="M26" s="116">
        <f t="shared" si="4"/>
        <v>777266</v>
      </c>
      <c r="N26" s="116">
        <f t="shared" si="4"/>
        <v>-63761</v>
      </c>
      <c r="O26" s="116">
        <f t="shared" si="4"/>
        <v>82379</v>
      </c>
      <c r="P26" s="116">
        <f t="shared" si="4"/>
        <v>-403274</v>
      </c>
      <c r="Q26" s="117">
        <f t="shared" si="4"/>
        <v>392610</v>
      </c>
      <c r="R26" s="116">
        <f t="shared" si="4"/>
        <v>922839</v>
      </c>
    </row>
    <row r="27" spans="1:18" x14ac:dyDescent="0.2">
      <c r="A27" s="118" t="s">
        <v>191</v>
      </c>
      <c r="B27" s="83"/>
      <c r="C27" s="84"/>
      <c r="D27" s="84"/>
      <c r="E27" s="84"/>
      <c r="F27" s="84"/>
      <c r="L27" s="114"/>
      <c r="Q27" s="114"/>
    </row>
    <row r="28" spans="1:18" s="318" customFormat="1" x14ac:dyDescent="0.2">
      <c r="A28" s="316"/>
      <c r="B28" s="317" t="s">
        <v>192</v>
      </c>
      <c r="C28" s="317"/>
      <c r="D28" s="317"/>
      <c r="E28" s="317"/>
      <c r="F28" s="317"/>
      <c r="H28" s="319">
        <v>-98015</v>
      </c>
      <c r="I28" s="319">
        <v>-141741</v>
      </c>
      <c r="J28" s="319">
        <v>-109811</v>
      </c>
      <c r="K28" s="319">
        <v>-148356</v>
      </c>
      <c r="L28" s="320">
        <f>SUM(H28:K28)</f>
        <v>-497923</v>
      </c>
      <c r="M28" s="319">
        <v>-81001</v>
      </c>
      <c r="N28" s="319">
        <v>-110278</v>
      </c>
      <c r="O28" s="319">
        <v>-167327</v>
      </c>
      <c r="P28" s="319">
        <v>-165979</v>
      </c>
      <c r="Q28" s="320">
        <f t="shared" ref="Q28:Q30" si="5">SUM(M28:P28)</f>
        <v>-524585</v>
      </c>
      <c r="R28" s="319">
        <v>-121158</v>
      </c>
    </row>
    <row r="29" spans="1:18" s="318" customFormat="1" x14ac:dyDescent="0.2">
      <c r="A29" s="316"/>
      <c r="B29" s="317" t="s">
        <v>193</v>
      </c>
      <c r="C29" s="317"/>
      <c r="D29" s="317"/>
      <c r="E29" s="317"/>
      <c r="F29" s="317"/>
      <c r="H29" s="319">
        <v>-288</v>
      </c>
      <c r="I29" s="319">
        <v>-260</v>
      </c>
      <c r="J29" s="319">
        <v>-8840</v>
      </c>
      <c r="K29" s="319">
        <v>1957</v>
      </c>
      <c r="L29" s="320">
        <f>SUM(H29:K29)</f>
        <v>-7431</v>
      </c>
      <c r="M29" s="319">
        <v>-4615</v>
      </c>
      <c r="N29" s="319">
        <v>-1000</v>
      </c>
      <c r="O29" s="319">
        <v>-21304</v>
      </c>
      <c r="P29" s="319">
        <v>0</v>
      </c>
      <c r="Q29" s="320">
        <f t="shared" si="5"/>
        <v>-26919</v>
      </c>
      <c r="R29" s="319">
        <v>0</v>
      </c>
    </row>
    <row r="30" spans="1:18" s="318" customFormat="1" x14ac:dyDescent="0.2">
      <c r="A30" s="316"/>
      <c r="B30" s="317" t="s">
        <v>194</v>
      </c>
      <c r="C30" s="317"/>
      <c r="D30" s="317"/>
      <c r="E30" s="317"/>
      <c r="F30" s="317"/>
      <c r="H30" s="319">
        <v>0</v>
      </c>
      <c r="I30" s="319">
        <v>0</v>
      </c>
      <c r="J30" s="319">
        <v>0</v>
      </c>
      <c r="K30" s="319">
        <v>0</v>
      </c>
      <c r="L30" s="320">
        <f>SUM(H30:K30)</f>
        <v>0</v>
      </c>
      <c r="M30" s="319">
        <v>0</v>
      </c>
      <c r="N30" s="319">
        <v>0</v>
      </c>
      <c r="O30" s="319">
        <v>0</v>
      </c>
      <c r="P30" s="319">
        <v>-788349</v>
      </c>
      <c r="Q30" s="320">
        <f t="shared" si="5"/>
        <v>-788349</v>
      </c>
      <c r="R30" s="319">
        <v>-124521</v>
      </c>
    </row>
    <row r="31" spans="1:18" x14ac:dyDescent="0.2">
      <c r="A31" s="105"/>
      <c r="B31" s="84"/>
      <c r="C31" s="84"/>
      <c r="D31" s="84"/>
      <c r="E31" s="84"/>
      <c r="F31" s="84"/>
      <c r="G31" s="84" t="s">
        <v>195</v>
      </c>
      <c r="H31" s="116">
        <f t="shared" ref="H31:R31" si="6">SUM(H28:H30)</f>
        <v>-98303</v>
      </c>
      <c r="I31" s="116">
        <f t="shared" si="6"/>
        <v>-142001</v>
      </c>
      <c r="J31" s="116">
        <f t="shared" si="6"/>
        <v>-118651</v>
      </c>
      <c r="K31" s="116">
        <f t="shared" si="6"/>
        <v>-146399</v>
      </c>
      <c r="L31" s="117">
        <f t="shared" si="6"/>
        <v>-505354</v>
      </c>
      <c r="M31" s="116">
        <f t="shared" si="6"/>
        <v>-85616</v>
      </c>
      <c r="N31" s="116">
        <f t="shared" si="6"/>
        <v>-111278</v>
      </c>
      <c r="O31" s="116">
        <f t="shared" si="6"/>
        <v>-188631</v>
      </c>
      <c r="P31" s="116">
        <f t="shared" si="6"/>
        <v>-954328</v>
      </c>
      <c r="Q31" s="117">
        <f t="shared" si="6"/>
        <v>-1339853</v>
      </c>
      <c r="R31" s="116">
        <f t="shared" si="6"/>
        <v>-245679</v>
      </c>
    </row>
    <row r="32" spans="1:18" x14ac:dyDescent="0.2">
      <c r="A32" s="118" t="s">
        <v>196</v>
      </c>
      <c r="B32" s="84"/>
      <c r="C32" s="84"/>
      <c r="D32" s="84"/>
      <c r="E32" s="84"/>
      <c r="F32" s="84"/>
      <c r="L32" s="114"/>
      <c r="Q32" s="114"/>
    </row>
    <row r="33" spans="1:18" x14ac:dyDescent="0.2">
      <c r="A33" s="89"/>
      <c r="B33" s="84" t="s">
        <v>197</v>
      </c>
      <c r="C33" s="84"/>
      <c r="D33" s="84"/>
      <c r="E33" s="84"/>
      <c r="F33" s="84"/>
      <c r="H33" s="113">
        <v>0</v>
      </c>
      <c r="I33" s="113">
        <v>1009464</v>
      </c>
      <c r="J33" s="113">
        <v>0</v>
      </c>
      <c r="K33" s="113">
        <v>0</v>
      </c>
      <c r="L33" s="114">
        <f t="shared" ref="L33:L38" si="7">SUM(H33:K33)</f>
        <v>1009464</v>
      </c>
      <c r="M33" s="113">
        <v>0</v>
      </c>
      <c r="N33" s="113">
        <v>0</v>
      </c>
      <c r="O33" s="113">
        <v>0</v>
      </c>
      <c r="P33" s="113">
        <v>0</v>
      </c>
      <c r="Q33" s="114">
        <f t="shared" ref="Q33:Q38" si="8">SUM(M33:P33)</f>
        <v>0</v>
      </c>
      <c r="R33" s="113">
        <v>0</v>
      </c>
    </row>
    <row r="34" spans="1:18" x14ac:dyDescent="0.2">
      <c r="A34" s="89"/>
      <c r="B34" s="84" t="s">
        <v>198</v>
      </c>
      <c r="C34" s="84"/>
      <c r="D34" s="84"/>
      <c r="E34" s="84"/>
      <c r="F34" s="84"/>
      <c r="H34" s="113">
        <v>0</v>
      </c>
      <c r="I34" s="113">
        <v>-7559</v>
      </c>
      <c r="J34" s="113">
        <v>0</v>
      </c>
      <c r="K34" s="113">
        <v>0</v>
      </c>
      <c r="L34" s="114">
        <f t="shared" si="7"/>
        <v>-7559</v>
      </c>
      <c r="M34" s="113">
        <v>0</v>
      </c>
      <c r="N34" s="113">
        <v>0</v>
      </c>
      <c r="O34" s="113">
        <v>0</v>
      </c>
      <c r="P34" s="113">
        <v>0</v>
      </c>
      <c r="Q34" s="114">
        <f t="shared" si="8"/>
        <v>0</v>
      </c>
      <c r="R34" s="113">
        <v>0</v>
      </c>
    </row>
    <row r="35" spans="1:18" x14ac:dyDescent="0.2">
      <c r="A35" s="89"/>
      <c r="B35" s="84" t="s">
        <v>199</v>
      </c>
      <c r="C35" s="84"/>
      <c r="D35" s="84"/>
      <c r="E35" s="84"/>
      <c r="F35" s="84"/>
      <c r="H35" s="113">
        <v>0</v>
      </c>
      <c r="I35" s="113">
        <v>0</v>
      </c>
      <c r="J35" s="113">
        <v>0</v>
      </c>
      <c r="K35" s="113">
        <v>0</v>
      </c>
      <c r="L35" s="114">
        <f t="shared" si="7"/>
        <v>0</v>
      </c>
      <c r="M35" s="113">
        <v>-500000</v>
      </c>
      <c r="N35" s="113">
        <v>0</v>
      </c>
      <c r="O35" s="113">
        <v>0</v>
      </c>
      <c r="P35" s="113">
        <v>0</v>
      </c>
      <c r="Q35" s="114">
        <f t="shared" si="8"/>
        <v>-500000</v>
      </c>
      <c r="R35" s="113">
        <v>-700000</v>
      </c>
    </row>
    <row r="36" spans="1:18" x14ac:dyDescent="0.2">
      <c r="A36" s="89"/>
      <c r="B36" s="84" t="s">
        <v>200</v>
      </c>
      <c r="C36" s="84"/>
      <c r="D36" s="84"/>
      <c r="E36" s="84"/>
      <c r="F36" s="84"/>
      <c r="H36" s="113">
        <v>43694</v>
      </c>
      <c r="I36" s="113">
        <v>89060</v>
      </c>
      <c r="J36" s="113">
        <v>68665</v>
      </c>
      <c r="K36" s="113">
        <v>33987</v>
      </c>
      <c r="L36" s="114">
        <f t="shared" si="7"/>
        <v>235406</v>
      </c>
      <c r="M36" s="113">
        <v>48071</v>
      </c>
      <c r="N36" s="113">
        <v>19749</v>
      </c>
      <c r="O36" s="113">
        <v>18445</v>
      </c>
      <c r="P36" s="113">
        <v>88149</v>
      </c>
      <c r="Q36" s="114">
        <f t="shared" si="8"/>
        <v>174414</v>
      </c>
      <c r="R36" s="113">
        <v>13678</v>
      </c>
    </row>
    <row r="37" spans="1:18" x14ac:dyDescent="0.2">
      <c r="A37" s="89"/>
      <c r="B37" s="84" t="s">
        <v>201</v>
      </c>
      <c r="C37" s="84"/>
      <c r="D37" s="84"/>
      <c r="E37" s="84"/>
      <c r="F37" s="84"/>
      <c r="H37" s="113">
        <v>0</v>
      </c>
      <c r="I37" s="113">
        <v>0</v>
      </c>
      <c r="J37" s="113">
        <v>0</v>
      </c>
      <c r="K37" s="113">
        <v>0</v>
      </c>
      <c r="L37" s="114">
        <f t="shared" si="7"/>
        <v>0</v>
      </c>
      <c r="M37" s="113">
        <v>0</v>
      </c>
      <c r="N37" s="113">
        <v>-500022</v>
      </c>
      <c r="O37" s="113">
        <v>-100000</v>
      </c>
      <c r="P37" s="113">
        <v>0</v>
      </c>
      <c r="Q37" s="114">
        <f t="shared" si="8"/>
        <v>-600022</v>
      </c>
      <c r="R37" s="113">
        <v>0</v>
      </c>
    </row>
    <row r="38" spans="1:18" x14ac:dyDescent="0.2">
      <c r="A38" s="89"/>
      <c r="B38" s="84" t="s">
        <v>202</v>
      </c>
      <c r="C38" s="84"/>
      <c r="D38" s="84"/>
      <c r="E38" s="84"/>
      <c r="F38" s="84"/>
      <c r="H38" s="113">
        <v>0</v>
      </c>
      <c r="I38" s="113">
        <v>0</v>
      </c>
      <c r="J38" s="113">
        <v>0</v>
      </c>
      <c r="K38" s="113">
        <v>0</v>
      </c>
      <c r="L38" s="114">
        <f t="shared" si="7"/>
        <v>0</v>
      </c>
      <c r="M38" s="113">
        <v>0</v>
      </c>
      <c r="N38" s="113">
        <v>0</v>
      </c>
      <c r="O38" s="113">
        <v>0</v>
      </c>
      <c r="P38" s="113">
        <v>-224168</v>
      </c>
      <c r="Q38" s="114">
        <f t="shared" si="8"/>
        <v>-224168</v>
      </c>
      <c r="R38" s="113">
        <v>0</v>
      </c>
    </row>
    <row r="39" spans="1:18" x14ac:dyDescent="0.2">
      <c r="A39" s="89"/>
      <c r="B39" s="84"/>
      <c r="C39" s="84"/>
      <c r="D39" s="84"/>
      <c r="E39" s="84"/>
      <c r="F39" s="84"/>
      <c r="G39" s="84" t="s">
        <v>203</v>
      </c>
      <c r="H39" s="116">
        <f t="shared" ref="H39:R39" si="9">SUM(H33:H38)</f>
        <v>43694</v>
      </c>
      <c r="I39" s="116">
        <f t="shared" si="9"/>
        <v>1090965</v>
      </c>
      <c r="J39" s="116">
        <f t="shared" si="9"/>
        <v>68665</v>
      </c>
      <c r="K39" s="116">
        <f t="shared" si="9"/>
        <v>33987</v>
      </c>
      <c r="L39" s="117">
        <f t="shared" si="9"/>
        <v>1237311</v>
      </c>
      <c r="M39" s="116">
        <f t="shared" si="9"/>
        <v>-451929</v>
      </c>
      <c r="N39" s="116">
        <f t="shared" si="9"/>
        <v>-480273</v>
      </c>
      <c r="O39" s="116">
        <f t="shared" si="9"/>
        <v>-81555</v>
      </c>
      <c r="P39" s="116">
        <f t="shared" si="9"/>
        <v>-136019</v>
      </c>
      <c r="Q39" s="117">
        <f t="shared" si="9"/>
        <v>-1149776</v>
      </c>
      <c r="R39" s="116">
        <f t="shared" si="9"/>
        <v>-686322</v>
      </c>
    </row>
    <row r="40" spans="1:18" x14ac:dyDescent="0.2">
      <c r="A40" s="89"/>
      <c r="B40" s="84"/>
      <c r="C40" s="84"/>
      <c r="D40" s="84"/>
      <c r="E40" s="84"/>
      <c r="F40" s="84"/>
      <c r="G40" s="84"/>
      <c r="H40" s="105"/>
      <c r="I40" s="105"/>
      <c r="J40" s="105"/>
      <c r="K40" s="105"/>
      <c r="L40" s="114"/>
      <c r="M40" s="105"/>
      <c r="N40" s="105"/>
      <c r="O40" s="105"/>
      <c r="P40" s="105"/>
      <c r="Q40" s="114"/>
      <c r="R40" s="105"/>
    </row>
    <row r="41" spans="1:18" x14ac:dyDescent="0.2">
      <c r="A41" s="89" t="s">
        <v>204</v>
      </c>
      <c r="B41" s="84"/>
      <c r="C41" s="84"/>
      <c r="D41" s="84"/>
      <c r="E41" s="84"/>
      <c r="F41" s="84"/>
      <c r="G41" s="84"/>
      <c r="H41" s="105">
        <v>-70902</v>
      </c>
      <c r="I41" s="105">
        <v>11819</v>
      </c>
      <c r="J41" s="105">
        <v>28459</v>
      </c>
      <c r="K41" s="105">
        <v>66674</v>
      </c>
      <c r="L41" s="114">
        <f>SUM(H41:K41)</f>
        <v>36050</v>
      </c>
      <c r="M41" s="105">
        <v>-42138</v>
      </c>
      <c r="N41" s="105">
        <v>23477</v>
      </c>
      <c r="O41" s="105">
        <v>-63843</v>
      </c>
      <c r="P41" s="105">
        <v>-4236</v>
      </c>
      <c r="Q41" s="114">
        <f t="shared" ref="Q41:Q42" si="10">SUM(M41:P41)</f>
        <v>-86740</v>
      </c>
      <c r="R41" s="105">
        <v>-11448</v>
      </c>
    </row>
    <row r="42" spans="1:18" x14ac:dyDescent="0.2">
      <c r="A42" s="89" t="s">
        <v>205</v>
      </c>
      <c r="B42" s="84"/>
      <c r="C42" s="84"/>
      <c r="D42" s="84"/>
      <c r="E42" s="84"/>
      <c r="F42" s="84"/>
      <c r="H42" s="105">
        <v>134401</v>
      </c>
      <c r="I42" s="105">
        <v>2001859</v>
      </c>
      <c r="J42" s="105">
        <v>1242234</v>
      </c>
      <c r="K42" s="105">
        <v>-183410</v>
      </c>
      <c r="L42" s="114">
        <f>SUM(H42:K42)</f>
        <v>3195084</v>
      </c>
      <c r="M42" s="105">
        <v>197583</v>
      </c>
      <c r="N42" s="105">
        <v>-631835</v>
      </c>
      <c r="O42" s="105">
        <v>-251650</v>
      </c>
      <c r="P42" s="105">
        <v>-1497857</v>
      </c>
      <c r="Q42" s="114">
        <f t="shared" si="10"/>
        <v>-2183759</v>
      </c>
      <c r="R42" s="105">
        <v>-20610</v>
      </c>
    </row>
    <row r="43" spans="1:18" x14ac:dyDescent="0.2">
      <c r="A43" s="89" t="s">
        <v>206</v>
      </c>
      <c r="B43" s="84"/>
      <c r="C43" s="84"/>
      <c r="D43" s="84"/>
      <c r="E43" s="84"/>
      <c r="F43" s="84"/>
      <c r="H43" s="105">
        <v>5043786</v>
      </c>
      <c r="I43" s="105">
        <v>5178187</v>
      </c>
      <c r="J43" s="105">
        <v>7180046</v>
      </c>
      <c r="K43" s="105">
        <v>8422280</v>
      </c>
      <c r="L43" s="114">
        <v>5043786</v>
      </c>
      <c r="M43" s="105">
        <v>8238870</v>
      </c>
      <c r="N43" s="105">
        <v>8436453</v>
      </c>
      <c r="O43" s="105">
        <v>7804618</v>
      </c>
      <c r="P43" s="105">
        <v>7552968</v>
      </c>
      <c r="Q43" s="114">
        <f>L44</f>
        <v>8238870</v>
      </c>
      <c r="R43" s="105">
        <v>6055111</v>
      </c>
    </row>
    <row r="44" spans="1:18" ht="13.5" thickBot="1" x14ac:dyDescent="0.25">
      <c r="A44" s="119" t="s">
        <v>207</v>
      </c>
      <c r="B44" s="84"/>
      <c r="C44" s="84"/>
      <c r="D44" s="84"/>
      <c r="E44" s="84"/>
      <c r="F44" s="84"/>
      <c r="H44" s="120">
        <f t="shared" ref="H44:R44" si="11">SUM(H42:H43)</f>
        <v>5178187</v>
      </c>
      <c r="I44" s="120">
        <f t="shared" si="11"/>
        <v>7180046</v>
      </c>
      <c r="J44" s="120">
        <f t="shared" si="11"/>
        <v>8422280</v>
      </c>
      <c r="K44" s="120">
        <f t="shared" si="11"/>
        <v>8238870</v>
      </c>
      <c r="L44" s="121">
        <f t="shared" si="11"/>
        <v>8238870</v>
      </c>
      <c r="M44" s="120">
        <f t="shared" si="11"/>
        <v>8436453</v>
      </c>
      <c r="N44" s="120">
        <f t="shared" si="11"/>
        <v>7804618</v>
      </c>
      <c r="O44" s="120">
        <f t="shared" si="11"/>
        <v>7552968</v>
      </c>
      <c r="P44" s="120">
        <f t="shared" si="11"/>
        <v>6055111</v>
      </c>
      <c r="Q44" s="121">
        <f t="shared" si="11"/>
        <v>6055111</v>
      </c>
      <c r="R44" s="120">
        <f t="shared" si="11"/>
        <v>6034501</v>
      </c>
    </row>
    <row r="45" spans="1:18" x14ac:dyDescent="0.2">
      <c r="A45" s="122"/>
      <c r="B45" s="84"/>
      <c r="C45" s="84"/>
      <c r="D45" s="84"/>
      <c r="E45" s="84"/>
      <c r="F45" s="84"/>
      <c r="L45" s="114"/>
      <c r="Q45" s="114"/>
    </row>
    <row r="46" spans="1:18" x14ac:dyDescent="0.2">
      <c r="A46" s="123" t="s">
        <v>208</v>
      </c>
      <c r="B46" s="48"/>
      <c r="C46" s="48"/>
      <c r="D46" s="84"/>
      <c r="E46" s="84"/>
      <c r="F46" s="84"/>
      <c r="L46" s="124"/>
      <c r="Q46" s="124"/>
    </row>
    <row r="47" spans="1:18" x14ac:dyDescent="0.2">
      <c r="A47" s="125"/>
      <c r="B47" s="84" t="s">
        <v>190</v>
      </c>
      <c r="C47" s="48"/>
      <c r="D47" s="84"/>
      <c r="E47" s="84"/>
      <c r="F47" s="84"/>
      <c r="H47" s="111">
        <f>H26</f>
        <v>259912</v>
      </c>
      <c r="I47" s="111">
        <f>I26</f>
        <v>1041076</v>
      </c>
      <c r="J47" s="111">
        <f>J26</f>
        <v>1263761</v>
      </c>
      <c r="K47" s="111">
        <f>K26</f>
        <v>-137672</v>
      </c>
      <c r="L47" s="112">
        <f>SUM(H47:K47)</f>
        <v>2427077</v>
      </c>
      <c r="M47" s="111">
        <f>M26</f>
        <v>777266</v>
      </c>
      <c r="N47" s="111">
        <f>N26</f>
        <v>-63761</v>
      </c>
      <c r="O47" s="111">
        <f>O26</f>
        <v>82379</v>
      </c>
      <c r="P47" s="111">
        <f>P26</f>
        <v>-403274</v>
      </c>
      <c r="Q47" s="112">
        <f t="shared" ref="Q47:Q49" si="12">SUM(M47:P47)</f>
        <v>392610</v>
      </c>
      <c r="R47" s="111">
        <v>922839</v>
      </c>
    </row>
    <row r="48" spans="1:18" x14ac:dyDescent="0.2">
      <c r="A48" s="108"/>
      <c r="B48" s="84" t="s">
        <v>192</v>
      </c>
      <c r="C48" s="84"/>
      <c r="D48" s="84"/>
      <c r="E48" s="84"/>
      <c r="F48" s="84"/>
      <c r="H48" s="113">
        <f t="shared" ref="H48:K49" si="13">H28</f>
        <v>-98015</v>
      </c>
      <c r="I48" s="113">
        <f t="shared" si="13"/>
        <v>-141741</v>
      </c>
      <c r="J48" s="113">
        <f t="shared" si="13"/>
        <v>-109811</v>
      </c>
      <c r="K48" s="113">
        <f t="shared" si="13"/>
        <v>-148356</v>
      </c>
      <c r="L48" s="114">
        <f>SUM(H48:K48)</f>
        <v>-497923</v>
      </c>
      <c r="M48" s="113">
        <f t="shared" ref="M48:P49" si="14">M28</f>
        <v>-81001</v>
      </c>
      <c r="N48" s="113">
        <f t="shared" si="14"/>
        <v>-110278</v>
      </c>
      <c r="O48" s="113">
        <f t="shared" si="14"/>
        <v>-167327</v>
      </c>
      <c r="P48" s="113">
        <f t="shared" si="14"/>
        <v>-165979</v>
      </c>
      <c r="Q48" s="114">
        <f t="shared" si="12"/>
        <v>-524585</v>
      </c>
      <c r="R48" s="113">
        <v>-121158</v>
      </c>
    </row>
    <row r="49" spans="1:18" x14ac:dyDescent="0.2">
      <c r="A49" s="108"/>
      <c r="B49" s="84" t="s">
        <v>193</v>
      </c>
      <c r="C49" s="84"/>
      <c r="D49" s="84"/>
      <c r="E49" s="84"/>
      <c r="F49" s="84"/>
      <c r="H49" s="113">
        <f t="shared" si="13"/>
        <v>-288</v>
      </c>
      <c r="I49" s="113">
        <f t="shared" si="13"/>
        <v>-260</v>
      </c>
      <c r="J49" s="113">
        <f t="shared" si="13"/>
        <v>-8840</v>
      </c>
      <c r="K49" s="113">
        <f t="shared" si="13"/>
        <v>1957</v>
      </c>
      <c r="L49" s="114">
        <f>SUM(H49:K49)</f>
        <v>-7431</v>
      </c>
      <c r="M49" s="113">
        <f t="shared" si="14"/>
        <v>-4615</v>
      </c>
      <c r="N49" s="113">
        <f t="shared" si="14"/>
        <v>-1000</v>
      </c>
      <c r="O49" s="113">
        <f t="shared" si="14"/>
        <v>-21304</v>
      </c>
      <c r="P49" s="113">
        <f t="shared" si="14"/>
        <v>0</v>
      </c>
      <c r="Q49" s="114">
        <f t="shared" si="12"/>
        <v>-26919</v>
      </c>
      <c r="R49" s="113">
        <v>0</v>
      </c>
    </row>
    <row r="50" spans="1:18" ht="13.5" thickBot="1" x14ac:dyDescent="0.25">
      <c r="A50" s="126"/>
      <c r="B50" s="80" t="s">
        <v>209</v>
      </c>
      <c r="C50" s="83"/>
      <c r="D50" s="83"/>
      <c r="E50" s="83"/>
      <c r="F50" s="83"/>
      <c r="H50" s="127">
        <f t="shared" ref="H50:J50" si="15">SUM(H47:H49)</f>
        <v>161609</v>
      </c>
      <c r="I50" s="127">
        <f t="shared" si="15"/>
        <v>899075</v>
      </c>
      <c r="J50" s="127">
        <f t="shared" si="15"/>
        <v>1145110</v>
      </c>
      <c r="K50" s="127">
        <f>SUM(K47:K49)</f>
        <v>-284071</v>
      </c>
      <c r="L50" s="128">
        <f t="shared" ref="L50" si="16">SUM(L47:L49)</f>
        <v>1921723</v>
      </c>
      <c r="M50" s="127">
        <f>SUM(M47:M49)</f>
        <v>691650</v>
      </c>
      <c r="N50" s="127">
        <f>SUM(N47:N49)</f>
        <v>-175039</v>
      </c>
      <c r="O50" s="127">
        <f>SUM(O47:O49)</f>
        <v>-106252</v>
      </c>
      <c r="P50" s="127">
        <f>SUM(P47:P49)</f>
        <v>-569253</v>
      </c>
      <c r="Q50" s="128">
        <f t="shared" ref="Q50" si="17">SUM(Q47:Q49)</f>
        <v>-158894</v>
      </c>
      <c r="R50" s="127">
        <f>SUM(R47:R49)</f>
        <v>801681</v>
      </c>
    </row>
  </sheetData>
  <mergeCells count="2">
    <mergeCell ref="H5:K5"/>
    <mergeCell ref="M5:P5"/>
  </mergeCells>
  <pageMargins left="0.17" right="0.17" top="0.28000000000000003" bottom="0.75" header="0.17" footer="0.3"/>
  <pageSetup scale="48"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8FF28-CE9D-4741-A3D8-98071893BD9E}">
  <sheetPr codeName="Sheet14">
    <pageSetUpPr fitToPage="1"/>
  </sheetPr>
  <dimension ref="A1:S189"/>
  <sheetViews>
    <sheetView showGridLines="0" topLeftCell="B16" zoomScaleNormal="100" zoomScaleSheetLayoutView="100" zoomScalePageLayoutView="85" workbookViewId="0">
      <selection activeCell="G59" sqref="G59:Q59"/>
    </sheetView>
  </sheetViews>
  <sheetFormatPr defaultColWidth="8.85546875" defaultRowHeight="12.75" x14ac:dyDescent="0.2"/>
  <cols>
    <col min="1" max="1" width="55.5703125" style="104" bestFit="1" customWidth="1"/>
    <col min="2" max="2" width="51.85546875" style="104" bestFit="1" customWidth="1"/>
    <col min="3" max="5" width="1.42578125" style="104" customWidth="1"/>
    <col min="6" max="6" width="65.42578125" style="104" customWidth="1"/>
    <col min="7" max="8" width="11" style="104" bestFit="1" customWidth="1"/>
    <col min="9" max="9" width="12.7109375" style="104" customWidth="1"/>
    <col min="10" max="11" width="12" style="104" bestFit="1" customWidth="1"/>
    <col min="12" max="13" width="11" style="104" bestFit="1" customWidth="1"/>
    <col min="14" max="14" width="12.7109375" style="104" bestFit="1" customWidth="1"/>
    <col min="15" max="16" width="12" style="104" bestFit="1" customWidth="1"/>
    <col min="17" max="17" width="12.28515625" style="104" bestFit="1" customWidth="1"/>
    <col min="18" max="18" width="13.7109375" style="104" customWidth="1"/>
    <col min="19" max="19" width="15.140625" style="104" customWidth="1"/>
    <col min="20" max="238" width="8.85546875" style="104"/>
    <col min="239" max="243" width="1.42578125" style="104" customWidth="1"/>
    <col min="244" max="244" width="37" style="104" customWidth="1"/>
    <col min="245" max="245" width="12.28515625" style="104" bestFit="1" customWidth="1"/>
    <col min="246" max="246" width="11" style="104" bestFit="1" customWidth="1"/>
    <col min="247" max="247" width="12.7109375" style="104" bestFit="1" customWidth="1"/>
    <col min="248" max="248" width="12" style="104" bestFit="1" customWidth="1"/>
    <col min="249" max="249" width="13.140625" style="104" bestFit="1" customWidth="1"/>
    <col min="250" max="253" width="13.42578125" style="104" customWidth="1"/>
    <col min="254" max="254" width="13.140625" style="104" bestFit="1" customWidth="1"/>
    <col min="255" max="258" width="14.7109375" style="104" customWidth="1"/>
    <col min="259" max="259" width="13.140625" style="104" bestFit="1" customWidth="1"/>
    <col min="260" max="494" width="8.85546875" style="104"/>
    <col min="495" max="499" width="1.42578125" style="104" customWidth="1"/>
    <col min="500" max="500" width="37" style="104" customWidth="1"/>
    <col min="501" max="501" width="12.28515625" style="104" bestFit="1" customWidth="1"/>
    <col min="502" max="502" width="11" style="104" bestFit="1" customWidth="1"/>
    <col min="503" max="503" width="12.7109375" style="104" bestFit="1" customWidth="1"/>
    <col min="504" max="504" width="12" style="104" bestFit="1" customWidth="1"/>
    <col min="505" max="505" width="13.140625" style="104" bestFit="1" customWidth="1"/>
    <col min="506" max="509" width="13.42578125" style="104" customWidth="1"/>
    <col min="510" max="510" width="13.140625" style="104" bestFit="1" customWidth="1"/>
    <col min="511" max="514" width="14.7109375" style="104" customWidth="1"/>
    <col min="515" max="515" width="13.140625" style="104" bestFit="1" customWidth="1"/>
    <col min="516" max="750" width="8.85546875" style="104"/>
    <col min="751" max="755" width="1.42578125" style="104" customWidth="1"/>
    <col min="756" max="756" width="37" style="104" customWidth="1"/>
    <col min="757" max="757" width="12.28515625" style="104" bestFit="1" customWidth="1"/>
    <col min="758" max="758" width="11" style="104" bestFit="1" customWidth="1"/>
    <col min="759" max="759" width="12.7109375" style="104" bestFit="1" customWidth="1"/>
    <col min="760" max="760" width="12" style="104" bestFit="1" customWidth="1"/>
    <col min="761" max="761" width="13.140625" style="104" bestFit="1" customWidth="1"/>
    <col min="762" max="765" width="13.42578125" style="104" customWidth="1"/>
    <col min="766" max="766" width="13.140625" style="104" bestFit="1" customWidth="1"/>
    <col min="767" max="770" width="14.7109375" style="104" customWidth="1"/>
    <col min="771" max="771" width="13.140625" style="104" bestFit="1" customWidth="1"/>
    <col min="772" max="1006" width="8.85546875" style="104"/>
    <col min="1007" max="1011" width="1.42578125" style="104" customWidth="1"/>
    <col min="1012" max="1012" width="37" style="104" customWidth="1"/>
    <col min="1013" max="1013" width="12.28515625" style="104" bestFit="1" customWidth="1"/>
    <col min="1014" max="1014" width="11" style="104" bestFit="1" customWidth="1"/>
    <col min="1015" max="1015" width="12.7109375" style="104" bestFit="1" customWidth="1"/>
    <col min="1016" max="1016" width="12" style="104" bestFit="1" customWidth="1"/>
    <col min="1017" max="1017" width="13.140625" style="104" bestFit="1" customWidth="1"/>
    <col min="1018" max="1021" width="13.42578125" style="104" customWidth="1"/>
    <col min="1022" max="1022" width="13.140625" style="104" bestFit="1" customWidth="1"/>
    <col min="1023" max="1026" width="14.7109375" style="104" customWidth="1"/>
    <col min="1027" max="1027" width="13.140625" style="104" bestFit="1" customWidth="1"/>
    <col min="1028" max="1262" width="8.85546875" style="104"/>
    <col min="1263" max="1267" width="1.42578125" style="104" customWidth="1"/>
    <col min="1268" max="1268" width="37" style="104" customWidth="1"/>
    <col min="1269" max="1269" width="12.28515625" style="104" bestFit="1" customWidth="1"/>
    <col min="1270" max="1270" width="11" style="104" bestFit="1" customWidth="1"/>
    <col min="1271" max="1271" width="12.7109375" style="104" bestFit="1" customWidth="1"/>
    <col min="1272" max="1272" width="12" style="104" bestFit="1" customWidth="1"/>
    <col min="1273" max="1273" width="13.140625" style="104" bestFit="1" customWidth="1"/>
    <col min="1274" max="1277" width="13.42578125" style="104" customWidth="1"/>
    <col min="1278" max="1278" width="13.140625" style="104" bestFit="1" customWidth="1"/>
    <col min="1279" max="1282" width="14.7109375" style="104" customWidth="1"/>
    <col min="1283" max="1283" width="13.140625" style="104" bestFit="1" customWidth="1"/>
    <col min="1284" max="1518" width="8.85546875" style="104"/>
    <col min="1519" max="1523" width="1.42578125" style="104" customWidth="1"/>
    <col min="1524" max="1524" width="37" style="104" customWidth="1"/>
    <col min="1525" max="1525" width="12.28515625" style="104" bestFit="1" customWidth="1"/>
    <col min="1526" max="1526" width="11" style="104" bestFit="1" customWidth="1"/>
    <col min="1527" max="1527" width="12.7109375" style="104" bestFit="1" customWidth="1"/>
    <col min="1528" max="1528" width="12" style="104" bestFit="1" customWidth="1"/>
    <col min="1529" max="1529" width="13.140625" style="104" bestFit="1" customWidth="1"/>
    <col min="1530" max="1533" width="13.42578125" style="104" customWidth="1"/>
    <col min="1534" max="1534" width="13.140625" style="104" bestFit="1" customWidth="1"/>
    <col min="1535" max="1538" width="14.7109375" style="104" customWidth="1"/>
    <col min="1539" max="1539" width="13.140625" style="104" bestFit="1" customWidth="1"/>
    <col min="1540" max="1774" width="8.85546875" style="104"/>
    <col min="1775" max="1779" width="1.42578125" style="104" customWidth="1"/>
    <col min="1780" max="1780" width="37" style="104" customWidth="1"/>
    <col min="1781" max="1781" width="12.28515625" style="104" bestFit="1" customWidth="1"/>
    <col min="1782" max="1782" width="11" style="104" bestFit="1" customWidth="1"/>
    <col min="1783" max="1783" width="12.7109375" style="104" bestFit="1" customWidth="1"/>
    <col min="1784" max="1784" width="12" style="104" bestFit="1" customWidth="1"/>
    <col min="1785" max="1785" width="13.140625" style="104" bestFit="1" customWidth="1"/>
    <col min="1786" max="1789" width="13.42578125" style="104" customWidth="1"/>
    <col min="1790" max="1790" width="13.140625" style="104" bestFit="1" customWidth="1"/>
    <col min="1791" max="1794" width="14.7109375" style="104" customWidth="1"/>
    <col min="1795" max="1795" width="13.140625" style="104" bestFit="1" customWidth="1"/>
    <col min="1796" max="2030" width="8.85546875" style="104"/>
    <col min="2031" max="2035" width="1.42578125" style="104" customWidth="1"/>
    <col min="2036" max="2036" width="37" style="104" customWidth="1"/>
    <col min="2037" max="2037" width="12.28515625" style="104" bestFit="1" customWidth="1"/>
    <col min="2038" max="2038" width="11" style="104" bestFit="1" customWidth="1"/>
    <col min="2039" max="2039" width="12.7109375" style="104" bestFit="1" customWidth="1"/>
    <col min="2040" max="2040" width="12" style="104" bestFit="1" customWidth="1"/>
    <col min="2041" max="2041" width="13.140625" style="104" bestFit="1" customWidth="1"/>
    <col min="2042" max="2045" width="13.42578125" style="104" customWidth="1"/>
    <col min="2046" max="2046" width="13.140625" style="104" bestFit="1" customWidth="1"/>
    <col min="2047" max="2050" width="14.7109375" style="104" customWidth="1"/>
    <col min="2051" max="2051" width="13.140625" style="104" bestFit="1" customWidth="1"/>
    <col min="2052" max="2286" width="8.85546875" style="104"/>
    <col min="2287" max="2291" width="1.42578125" style="104" customWidth="1"/>
    <col min="2292" max="2292" width="37" style="104" customWidth="1"/>
    <col min="2293" max="2293" width="12.28515625" style="104" bestFit="1" customWidth="1"/>
    <col min="2294" max="2294" width="11" style="104" bestFit="1" customWidth="1"/>
    <col min="2295" max="2295" width="12.7109375" style="104" bestFit="1" customWidth="1"/>
    <col min="2296" max="2296" width="12" style="104" bestFit="1" customWidth="1"/>
    <col min="2297" max="2297" width="13.140625" style="104" bestFit="1" customWidth="1"/>
    <col min="2298" max="2301" width="13.42578125" style="104" customWidth="1"/>
    <col min="2302" max="2302" width="13.140625" style="104" bestFit="1" customWidth="1"/>
    <col min="2303" max="2306" width="14.7109375" style="104" customWidth="1"/>
    <col min="2307" max="2307" width="13.140625" style="104" bestFit="1" customWidth="1"/>
    <col min="2308" max="2542" width="8.85546875" style="104"/>
    <col min="2543" max="2547" width="1.42578125" style="104" customWidth="1"/>
    <col min="2548" max="2548" width="37" style="104" customWidth="1"/>
    <col min="2549" max="2549" width="12.28515625" style="104" bestFit="1" customWidth="1"/>
    <col min="2550" max="2550" width="11" style="104" bestFit="1" customWidth="1"/>
    <col min="2551" max="2551" width="12.7109375" style="104" bestFit="1" customWidth="1"/>
    <col min="2552" max="2552" width="12" style="104" bestFit="1" customWidth="1"/>
    <col min="2553" max="2553" width="13.140625" style="104" bestFit="1" customWidth="1"/>
    <col min="2554" max="2557" width="13.42578125" style="104" customWidth="1"/>
    <col min="2558" max="2558" width="13.140625" style="104" bestFit="1" customWidth="1"/>
    <col min="2559" max="2562" width="14.7109375" style="104" customWidth="1"/>
    <col min="2563" max="2563" width="13.140625" style="104" bestFit="1" customWidth="1"/>
    <col min="2564" max="2798" width="8.85546875" style="104"/>
    <col min="2799" max="2803" width="1.42578125" style="104" customWidth="1"/>
    <col min="2804" max="2804" width="37" style="104" customWidth="1"/>
    <col min="2805" max="2805" width="12.28515625" style="104" bestFit="1" customWidth="1"/>
    <col min="2806" max="2806" width="11" style="104" bestFit="1" customWidth="1"/>
    <col min="2807" max="2807" width="12.7109375" style="104" bestFit="1" customWidth="1"/>
    <col min="2808" max="2808" width="12" style="104" bestFit="1" customWidth="1"/>
    <col min="2809" max="2809" width="13.140625" style="104" bestFit="1" customWidth="1"/>
    <col min="2810" max="2813" width="13.42578125" style="104" customWidth="1"/>
    <col min="2814" max="2814" width="13.140625" style="104" bestFit="1" customWidth="1"/>
    <col min="2815" max="2818" width="14.7109375" style="104" customWidth="1"/>
    <col min="2819" max="2819" width="13.140625" style="104" bestFit="1" customWidth="1"/>
    <col min="2820" max="3054" width="8.85546875" style="104"/>
    <col min="3055" max="3059" width="1.42578125" style="104" customWidth="1"/>
    <col min="3060" max="3060" width="37" style="104" customWidth="1"/>
    <col min="3061" max="3061" width="12.28515625" style="104" bestFit="1" customWidth="1"/>
    <col min="3062" max="3062" width="11" style="104" bestFit="1" customWidth="1"/>
    <col min="3063" max="3063" width="12.7109375" style="104" bestFit="1" customWidth="1"/>
    <col min="3064" max="3064" width="12" style="104" bestFit="1" customWidth="1"/>
    <col min="3065" max="3065" width="13.140625" style="104" bestFit="1" customWidth="1"/>
    <col min="3066" max="3069" width="13.42578125" style="104" customWidth="1"/>
    <col min="3070" max="3070" width="13.140625" style="104" bestFit="1" customWidth="1"/>
    <col min="3071" max="3074" width="14.7109375" style="104" customWidth="1"/>
    <col min="3075" max="3075" width="13.140625" style="104" bestFit="1" customWidth="1"/>
    <col min="3076" max="3310" width="8.85546875" style="104"/>
    <col min="3311" max="3315" width="1.42578125" style="104" customWidth="1"/>
    <col min="3316" max="3316" width="37" style="104" customWidth="1"/>
    <col min="3317" max="3317" width="12.28515625" style="104" bestFit="1" customWidth="1"/>
    <col min="3318" max="3318" width="11" style="104" bestFit="1" customWidth="1"/>
    <col min="3319" max="3319" width="12.7109375" style="104" bestFit="1" customWidth="1"/>
    <col min="3320" max="3320" width="12" style="104" bestFit="1" customWidth="1"/>
    <col min="3321" max="3321" width="13.140625" style="104" bestFit="1" customWidth="1"/>
    <col min="3322" max="3325" width="13.42578125" style="104" customWidth="1"/>
    <col min="3326" max="3326" width="13.140625" style="104" bestFit="1" customWidth="1"/>
    <col min="3327" max="3330" width="14.7109375" style="104" customWidth="1"/>
    <col min="3331" max="3331" width="13.140625" style="104" bestFit="1" customWidth="1"/>
    <col min="3332" max="3566" width="8.85546875" style="104"/>
    <col min="3567" max="3571" width="1.42578125" style="104" customWidth="1"/>
    <col min="3572" max="3572" width="37" style="104" customWidth="1"/>
    <col min="3573" max="3573" width="12.28515625" style="104" bestFit="1" customWidth="1"/>
    <col min="3574" max="3574" width="11" style="104" bestFit="1" customWidth="1"/>
    <col min="3575" max="3575" width="12.7109375" style="104" bestFit="1" customWidth="1"/>
    <col min="3576" max="3576" width="12" style="104" bestFit="1" customWidth="1"/>
    <col min="3577" max="3577" width="13.140625" style="104" bestFit="1" customWidth="1"/>
    <col min="3578" max="3581" width="13.42578125" style="104" customWidth="1"/>
    <col min="3582" max="3582" width="13.140625" style="104" bestFit="1" customWidth="1"/>
    <col min="3583" max="3586" width="14.7109375" style="104" customWidth="1"/>
    <col min="3587" max="3587" width="13.140625" style="104" bestFit="1" customWidth="1"/>
    <col min="3588" max="3822" width="8.85546875" style="104"/>
    <col min="3823" max="3827" width="1.42578125" style="104" customWidth="1"/>
    <col min="3828" max="3828" width="37" style="104" customWidth="1"/>
    <col min="3829" max="3829" width="12.28515625" style="104" bestFit="1" customWidth="1"/>
    <col min="3830" max="3830" width="11" style="104" bestFit="1" customWidth="1"/>
    <col min="3831" max="3831" width="12.7109375" style="104" bestFit="1" customWidth="1"/>
    <col min="3832" max="3832" width="12" style="104" bestFit="1" customWidth="1"/>
    <col min="3833" max="3833" width="13.140625" style="104" bestFit="1" customWidth="1"/>
    <col min="3834" max="3837" width="13.42578125" style="104" customWidth="1"/>
    <col min="3838" max="3838" width="13.140625" style="104" bestFit="1" customWidth="1"/>
    <col min="3839" max="3842" width="14.7109375" style="104" customWidth="1"/>
    <col min="3843" max="3843" width="13.140625" style="104" bestFit="1" customWidth="1"/>
    <col min="3844" max="4078" width="8.85546875" style="104"/>
    <col min="4079" max="4083" width="1.42578125" style="104" customWidth="1"/>
    <col min="4084" max="4084" width="37" style="104" customWidth="1"/>
    <col min="4085" max="4085" width="12.28515625" style="104" bestFit="1" customWidth="1"/>
    <col min="4086" max="4086" width="11" style="104" bestFit="1" customWidth="1"/>
    <col min="4087" max="4087" width="12.7109375" style="104" bestFit="1" customWidth="1"/>
    <col min="4088" max="4088" width="12" style="104" bestFit="1" customWidth="1"/>
    <col min="4089" max="4089" width="13.140625" style="104" bestFit="1" customWidth="1"/>
    <col min="4090" max="4093" width="13.42578125" style="104" customWidth="1"/>
    <col min="4094" max="4094" width="13.140625" style="104" bestFit="1" customWidth="1"/>
    <col min="4095" max="4098" width="14.7109375" style="104" customWidth="1"/>
    <col min="4099" max="4099" width="13.140625" style="104" bestFit="1" customWidth="1"/>
    <col min="4100" max="4334" width="8.85546875" style="104"/>
    <col min="4335" max="4339" width="1.42578125" style="104" customWidth="1"/>
    <col min="4340" max="4340" width="37" style="104" customWidth="1"/>
    <col min="4341" max="4341" width="12.28515625" style="104" bestFit="1" customWidth="1"/>
    <col min="4342" max="4342" width="11" style="104" bestFit="1" customWidth="1"/>
    <col min="4343" max="4343" width="12.7109375" style="104" bestFit="1" customWidth="1"/>
    <col min="4344" max="4344" width="12" style="104" bestFit="1" customWidth="1"/>
    <col min="4345" max="4345" width="13.140625" style="104" bestFit="1" customWidth="1"/>
    <col min="4346" max="4349" width="13.42578125" style="104" customWidth="1"/>
    <col min="4350" max="4350" width="13.140625" style="104" bestFit="1" customWidth="1"/>
    <col min="4351" max="4354" width="14.7109375" style="104" customWidth="1"/>
    <col min="4355" max="4355" width="13.140625" style="104" bestFit="1" customWidth="1"/>
    <col min="4356" max="4590" width="8.85546875" style="104"/>
    <col min="4591" max="4595" width="1.42578125" style="104" customWidth="1"/>
    <col min="4596" max="4596" width="37" style="104" customWidth="1"/>
    <col min="4597" max="4597" width="12.28515625" style="104" bestFit="1" customWidth="1"/>
    <col min="4598" max="4598" width="11" style="104" bestFit="1" customWidth="1"/>
    <col min="4599" max="4599" width="12.7109375" style="104" bestFit="1" customWidth="1"/>
    <col min="4600" max="4600" width="12" style="104" bestFit="1" customWidth="1"/>
    <col min="4601" max="4601" width="13.140625" style="104" bestFit="1" customWidth="1"/>
    <col min="4602" max="4605" width="13.42578125" style="104" customWidth="1"/>
    <col min="4606" max="4606" width="13.140625" style="104" bestFit="1" customWidth="1"/>
    <col min="4607" max="4610" width="14.7109375" style="104" customWidth="1"/>
    <col min="4611" max="4611" width="13.140625" style="104" bestFit="1" customWidth="1"/>
    <col min="4612" max="4846" width="8.85546875" style="104"/>
    <col min="4847" max="4851" width="1.42578125" style="104" customWidth="1"/>
    <col min="4852" max="4852" width="37" style="104" customWidth="1"/>
    <col min="4853" max="4853" width="12.28515625" style="104" bestFit="1" customWidth="1"/>
    <col min="4854" max="4854" width="11" style="104" bestFit="1" customWidth="1"/>
    <col min="4855" max="4855" width="12.7109375" style="104" bestFit="1" customWidth="1"/>
    <col min="4856" max="4856" width="12" style="104" bestFit="1" customWidth="1"/>
    <col min="4857" max="4857" width="13.140625" style="104" bestFit="1" customWidth="1"/>
    <col min="4858" max="4861" width="13.42578125" style="104" customWidth="1"/>
    <col min="4862" max="4862" width="13.140625" style="104" bestFit="1" customWidth="1"/>
    <col min="4863" max="4866" width="14.7109375" style="104" customWidth="1"/>
    <col min="4867" max="4867" width="13.140625" style="104" bestFit="1" customWidth="1"/>
    <col min="4868" max="5102" width="8.85546875" style="104"/>
    <col min="5103" max="5107" width="1.42578125" style="104" customWidth="1"/>
    <col min="5108" max="5108" width="37" style="104" customWidth="1"/>
    <col min="5109" max="5109" width="12.28515625" style="104" bestFit="1" customWidth="1"/>
    <col min="5110" max="5110" width="11" style="104" bestFit="1" customWidth="1"/>
    <col min="5111" max="5111" width="12.7109375" style="104" bestFit="1" customWidth="1"/>
    <col min="5112" max="5112" width="12" style="104" bestFit="1" customWidth="1"/>
    <col min="5113" max="5113" width="13.140625" style="104" bestFit="1" customWidth="1"/>
    <col min="5114" max="5117" width="13.42578125" style="104" customWidth="1"/>
    <col min="5118" max="5118" width="13.140625" style="104" bestFit="1" customWidth="1"/>
    <col min="5119" max="5122" width="14.7109375" style="104" customWidth="1"/>
    <col min="5123" max="5123" width="13.140625" style="104" bestFit="1" customWidth="1"/>
    <col min="5124" max="5358" width="8.85546875" style="104"/>
    <col min="5359" max="5363" width="1.42578125" style="104" customWidth="1"/>
    <col min="5364" max="5364" width="37" style="104" customWidth="1"/>
    <col min="5365" max="5365" width="12.28515625" style="104" bestFit="1" customWidth="1"/>
    <col min="5366" max="5366" width="11" style="104" bestFit="1" customWidth="1"/>
    <col min="5367" max="5367" width="12.7109375" style="104" bestFit="1" customWidth="1"/>
    <col min="5368" max="5368" width="12" style="104" bestFit="1" customWidth="1"/>
    <col min="5369" max="5369" width="13.140625" style="104" bestFit="1" customWidth="1"/>
    <col min="5370" max="5373" width="13.42578125" style="104" customWidth="1"/>
    <col min="5374" max="5374" width="13.140625" style="104" bestFit="1" customWidth="1"/>
    <col min="5375" max="5378" width="14.7109375" style="104" customWidth="1"/>
    <col min="5379" max="5379" width="13.140625" style="104" bestFit="1" customWidth="1"/>
    <col min="5380" max="5614" width="8.85546875" style="104"/>
    <col min="5615" max="5619" width="1.42578125" style="104" customWidth="1"/>
    <col min="5620" max="5620" width="37" style="104" customWidth="1"/>
    <col min="5621" max="5621" width="12.28515625" style="104" bestFit="1" customWidth="1"/>
    <col min="5622" max="5622" width="11" style="104" bestFit="1" customWidth="1"/>
    <col min="5623" max="5623" width="12.7109375" style="104" bestFit="1" customWidth="1"/>
    <col min="5624" max="5624" width="12" style="104" bestFit="1" customWidth="1"/>
    <col min="5625" max="5625" width="13.140625" style="104" bestFit="1" customWidth="1"/>
    <col min="5626" max="5629" width="13.42578125" style="104" customWidth="1"/>
    <col min="5630" max="5630" width="13.140625" style="104" bestFit="1" customWidth="1"/>
    <col min="5631" max="5634" width="14.7109375" style="104" customWidth="1"/>
    <col min="5635" max="5635" width="13.140625" style="104" bestFit="1" customWidth="1"/>
    <col min="5636" max="5870" width="8.85546875" style="104"/>
    <col min="5871" max="5875" width="1.42578125" style="104" customWidth="1"/>
    <col min="5876" max="5876" width="37" style="104" customWidth="1"/>
    <col min="5877" max="5877" width="12.28515625" style="104" bestFit="1" customWidth="1"/>
    <col min="5878" max="5878" width="11" style="104" bestFit="1" customWidth="1"/>
    <col min="5879" max="5879" width="12.7109375" style="104" bestFit="1" customWidth="1"/>
    <col min="5880" max="5880" width="12" style="104" bestFit="1" customWidth="1"/>
    <col min="5881" max="5881" width="13.140625" style="104" bestFit="1" customWidth="1"/>
    <col min="5882" max="5885" width="13.42578125" style="104" customWidth="1"/>
    <col min="5886" max="5886" width="13.140625" style="104" bestFit="1" customWidth="1"/>
    <col min="5887" max="5890" width="14.7109375" style="104" customWidth="1"/>
    <col min="5891" max="5891" width="13.140625" style="104" bestFit="1" customWidth="1"/>
    <col min="5892" max="6126" width="8.85546875" style="104"/>
    <col min="6127" max="6131" width="1.42578125" style="104" customWidth="1"/>
    <col min="6132" max="6132" width="37" style="104" customWidth="1"/>
    <col min="6133" max="6133" width="12.28515625" style="104" bestFit="1" customWidth="1"/>
    <col min="6134" max="6134" width="11" style="104" bestFit="1" customWidth="1"/>
    <col min="6135" max="6135" width="12.7109375" style="104" bestFit="1" customWidth="1"/>
    <col min="6136" max="6136" width="12" style="104" bestFit="1" customWidth="1"/>
    <col min="6137" max="6137" width="13.140625" style="104" bestFit="1" customWidth="1"/>
    <col min="6138" max="6141" width="13.42578125" style="104" customWidth="1"/>
    <col min="6142" max="6142" width="13.140625" style="104" bestFit="1" customWidth="1"/>
    <col min="6143" max="6146" width="14.7109375" style="104" customWidth="1"/>
    <col min="6147" max="6147" width="13.140625" style="104" bestFit="1" customWidth="1"/>
    <col min="6148" max="6382" width="8.85546875" style="104"/>
    <col min="6383" max="6387" width="1.42578125" style="104" customWidth="1"/>
    <col min="6388" max="6388" width="37" style="104" customWidth="1"/>
    <col min="6389" max="6389" width="12.28515625" style="104" bestFit="1" customWidth="1"/>
    <col min="6390" max="6390" width="11" style="104" bestFit="1" customWidth="1"/>
    <col min="6391" max="6391" width="12.7109375" style="104" bestFit="1" customWidth="1"/>
    <col min="6392" max="6392" width="12" style="104" bestFit="1" customWidth="1"/>
    <col min="6393" max="6393" width="13.140625" style="104" bestFit="1" customWidth="1"/>
    <col min="6394" max="6397" width="13.42578125" style="104" customWidth="1"/>
    <col min="6398" max="6398" width="13.140625" style="104" bestFit="1" customWidth="1"/>
    <col min="6399" max="6402" width="14.7109375" style="104" customWidth="1"/>
    <col min="6403" max="6403" width="13.140625" style="104" bestFit="1" customWidth="1"/>
    <col min="6404" max="6638" width="8.85546875" style="104"/>
    <col min="6639" max="6643" width="1.42578125" style="104" customWidth="1"/>
    <col min="6644" max="6644" width="37" style="104" customWidth="1"/>
    <col min="6645" max="6645" width="12.28515625" style="104" bestFit="1" customWidth="1"/>
    <col min="6646" max="6646" width="11" style="104" bestFit="1" customWidth="1"/>
    <col min="6647" max="6647" width="12.7109375" style="104" bestFit="1" customWidth="1"/>
    <col min="6648" max="6648" width="12" style="104" bestFit="1" customWidth="1"/>
    <col min="6649" max="6649" width="13.140625" style="104" bestFit="1" customWidth="1"/>
    <col min="6650" max="6653" width="13.42578125" style="104" customWidth="1"/>
    <col min="6654" max="6654" width="13.140625" style="104" bestFit="1" customWidth="1"/>
    <col min="6655" max="6658" width="14.7109375" style="104" customWidth="1"/>
    <col min="6659" max="6659" width="13.140625" style="104" bestFit="1" customWidth="1"/>
    <col min="6660" max="6894" width="8.85546875" style="104"/>
    <col min="6895" max="6899" width="1.42578125" style="104" customWidth="1"/>
    <col min="6900" max="6900" width="37" style="104" customWidth="1"/>
    <col min="6901" max="6901" width="12.28515625" style="104" bestFit="1" customWidth="1"/>
    <col min="6902" max="6902" width="11" style="104" bestFit="1" customWidth="1"/>
    <col min="6903" max="6903" width="12.7109375" style="104" bestFit="1" customWidth="1"/>
    <col min="6904" max="6904" width="12" style="104" bestFit="1" customWidth="1"/>
    <col min="6905" max="6905" width="13.140625" style="104" bestFit="1" customWidth="1"/>
    <col min="6906" max="6909" width="13.42578125" style="104" customWidth="1"/>
    <col min="6910" max="6910" width="13.140625" style="104" bestFit="1" customWidth="1"/>
    <col min="6911" max="6914" width="14.7109375" style="104" customWidth="1"/>
    <col min="6915" max="6915" width="13.140625" style="104" bestFit="1" customWidth="1"/>
    <col min="6916" max="7150" width="8.85546875" style="104"/>
    <col min="7151" max="7155" width="1.42578125" style="104" customWidth="1"/>
    <col min="7156" max="7156" width="37" style="104" customWidth="1"/>
    <col min="7157" max="7157" width="12.28515625" style="104" bestFit="1" customWidth="1"/>
    <col min="7158" max="7158" width="11" style="104" bestFit="1" customWidth="1"/>
    <col min="7159" max="7159" width="12.7109375" style="104" bestFit="1" customWidth="1"/>
    <col min="7160" max="7160" width="12" style="104" bestFit="1" customWidth="1"/>
    <col min="7161" max="7161" width="13.140625" style="104" bestFit="1" customWidth="1"/>
    <col min="7162" max="7165" width="13.42578125" style="104" customWidth="1"/>
    <col min="7166" max="7166" width="13.140625" style="104" bestFit="1" customWidth="1"/>
    <col min="7167" max="7170" width="14.7109375" style="104" customWidth="1"/>
    <col min="7171" max="7171" width="13.140625" style="104" bestFit="1" customWidth="1"/>
    <col min="7172" max="7406" width="8.85546875" style="104"/>
    <col min="7407" max="7411" width="1.42578125" style="104" customWidth="1"/>
    <col min="7412" max="7412" width="37" style="104" customWidth="1"/>
    <col min="7413" max="7413" width="12.28515625" style="104" bestFit="1" customWidth="1"/>
    <col min="7414" max="7414" width="11" style="104" bestFit="1" customWidth="1"/>
    <col min="7415" max="7415" width="12.7109375" style="104" bestFit="1" customWidth="1"/>
    <col min="7416" max="7416" width="12" style="104" bestFit="1" customWidth="1"/>
    <col min="7417" max="7417" width="13.140625" style="104" bestFit="1" customWidth="1"/>
    <col min="7418" max="7421" width="13.42578125" style="104" customWidth="1"/>
    <col min="7422" max="7422" width="13.140625" style="104" bestFit="1" customWidth="1"/>
    <col min="7423" max="7426" width="14.7109375" style="104" customWidth="1"/>
    <col min="7427" max="7427" width="13.140625" style="104" bestFit="1" customWidth="1"/>
    <col min="7428" max="7662" width="8.85546875" style="104"/>
    <col min="7663" max="7667" width="1.42578125" style="104" customWidth="1"/>
    <col min="7668" max="7668" width="37" style="104" customWidth="1"/>
    <col min="7669" max="7669" width="12.28515625" style="104" bestFit="1" customWidth="1"/>
    <col min="7670" max="7670" width="11" style="104" bestFit="1" customWidth="1"/>
    <col min="7671" max="7671" width="12.7109375" style="104" bestFit="1" customWidth="1"/>
    <col min="7672" max="7672" width="12" style="104" bestFit="1" customWidth="1"/>
    <col min="7673" max="7673" width="13.140625" style="104" bestFit="1" customWidth="1"/>
    <col min="7674" max="7677" width="13.42578125" style="104" customWidth="1"/>
    <col min="7678" max="7678" width="13.140625" style="104" bestFit="1" customWidth="1"/>
    <col min="7679" max="7682" width="14.7109375" style="104" customWidth="1"/>
    <col min="7683" max="7683" width="13.140625" style="104" bestFit="1" customWidth="1"/>
    <col min="7684" max="7918" width="8.85546875" style="104"/>
    <col min="7919" max="7923" width="1.42578125" style="104" customWidth="1"/>
    <col min="7924" max="7924" width="37" style="104" customWidth="1"/>
    <col min="7925" max="7925" width="12.28515625" style="104" bestFit="1" customWidth="1"/>
    <col min="7926" max="7926" width="11" style="104" bestFit="1" customWidth="1"/>
    <col min="7927" max="7927" width="12.7109375" style="104" bestFit="1" customWidth="1"/>
    <col min="7928" max="7928" width="12" style="104" bestFit="1" customWidth="1"/>
    <col min="7929" max="7929" width="13.140625" style="104" bestFit="1" customWidth="1"/>
    <col min="7930" max="7933" width="13.42578125" style="104" customWidth="1"/>
    <col min="7934" max="7934" width="13.140625" style="104" bestFit="1" customWidth="1"/>
    <col min="7935" max="7938" width="14.7109375" style="104" customWidth="1"/>
    <col min="7939" max="7939" width="13.140625" style="104" bestFit="1" customWidth="1"/>
    <col min="7940" max="8174" width="8.85546875" style="104"/>
    <col min="8175" max="8179" width="1.42578125" style="104" customWidth="1"/>
    <col min="8180" max="8180" width="37" style="104" customWidth="1"/>
    <col min="8181" max="8181" width="12.28515625" style="104" bestFit="1" customWidth="1"/>
    <col min="8182" max="8182" width="11" style="104" bestFit="1" customWidth="1"/>
    <col min="8183" max="8183" width="12.7109375" style="104" bestFit="1" customWidth="1"/>
    <col min="8184" max="8184" width="12" style="104" bestFit="1" customWidth="1"/>
    <col min="8185" max="8185" width="13.140625" style="104" bestFit="1" customWidth="1"/>
    <col min="8186" max="8189" width="13.42578125" style="104" customWidth="1"/>
    <col min="8190" max="8190" width="13.140625" style="104" bestFit="1" customWidth="1"/>
    <col min="8191" max="8194" width="14.7109375" style="104" customWidth="1"/>
    <col min="8195" max="8195" width="13.140625" style="104" bestFit="1" customWidth="1"/>
    <col min="8196" max="8430" width="8.85546875" style="104"/>
    <col min="8431" max="8435" width="1.42578125" style="104" customWidth="1"/>
    <col min="8436" max="8436" width="37" style="104" customWidth="1"/>
    <col min="8437" max="8437" width="12.28515625" style="104" bestFit="1" customWidth="1"/>
    <col min="8438" max="8438" width="11" style="104" bestFit="1" customWidth="1"/>
    <col min="8439" max="8439" width="12.7109375" style="104" bestFit="1" customWidth="1"/>
    <col min="8440" max="8440" width="12" style="104" bestFit="1" customWidth="1"/>
    <col min="8441" max="8441" width="13.140625" style="104" bestFit="1" customWidth="1"/>
    <col min="8442" max="8445" width="13.42578125" style="104" customWidth="1"/>
    <col min="8446" max="8446" width="13.140625" style="104" bestFit="1" customWidth="1"/>
    <col min="8447" max="8450" width="14.7109375" style="104" customWidth="1"/>
    <col min="8451" max="8451" width="13.140625" style="104" bestFit="1" customWidth="1"/>
    <col min="8452" max="8686" width="8.85546875" style="104"/>
    <col min="8687" max="8691" width="1.42578125" style="104" customWidth="1"/>
    <col min="8692" max="8692" width="37" style="104" customWidth="1"/>
    <col min="8693" max="8693" width="12.28515625" style="104" bestFit="1" customWidth="1"/>
    <col min="8694" max="8694" width="11" style="104" bestFit="1" customWidth="1"/>
    <col min="8695" max="8695" width="12.7109375" style="104" bestFit="1" customWidth="1"/>
    <col min="8696" max="8696" width="12" style="104" bestFit="1" customWidth="1"/>
    <col min="8697" max="8697" width="13.140625" style="104" bestFit="1" customWidth="1"/>
    <col min="8698" max="8701" width="13.42578125" style="104" customWidth="1"/>
    <col min="8702" max="8702" width="13.140625" style="104" bestFit="1" customWidth="1"/>
    <col min="8703" max="8706" width="14.7109375" style="104" customWidth="1"/>
    <col min="8707" max="8707" width="13.140625" style="104" bestFit="1" customWidth="1"/>
    <col min="8708" max="8942" width="8.85546875" style="104"/>
    <col min="8943" max="8947" width="1.42578125" style="104" customWidth="1"/>
    <col min="8948" max="8948" width="37" style="104" customWidth="1"/>
    <col min="8949" max="8949" width="12.28515625" style="104" bestFit="1" customWidth="1"/>
    <col min="8950" max="8950" width="11" style="104" bestFit="1" customWidth="1"/>
    <col min="8951" max="8951" width="12.7109375" style="104" bestFit="1" customWidth="1"/>
    <col min="8952" max="8952" width="12" style="104" bestFit="1" customWidth="1"/>
    <col min="8953" max="8953" width="13.140625" style="104" bestFit="1" customWidth="1"/>
    <col min="8954" max="8957" width="13.42578125" style="104" customWidth="1"/>
    <col min="8958" max="8958" width="13.140625" style="104" bestFit="1" customWidth="1"/>
    <col min="8959" max="8962" width="14.7109375" style="104" customWidth="1"/>
    <col min="8963" max="8963" width="13.140625" style="104" bestFit="1" customWidth="1"/>
    <col min="8964" max="9198" width="8.85546875" style="104"/>
    <col min="9199" max="9203" width="1.42578125" style="104" customWidth="1"/>
    <col min="9204" max="9204" width="37" style="104" customWidth="1"/>
    <col min="9205" max="9205" width="12.28515625" style="104" bestFit="1" customWidth="1"/>
    <col min="9206" max="9206" width="11" style="104" bestFit="1" customWidth="1"/>
    <col min="9207" max="9207" width="12.7109375" style="104" bestFit="1" customWidth="1"/>
    <col min="9208" max="9208" width="12" style="104" bestFit="1" customWidth="1"/>
    <col min="9209" max="9209" width="13.140625" style="104" bestFit="1" customWidth="1"/>
    <col min="9210" max="9213" width="13.42578125" style="104" customWidth="1"/>
    <col min="9214" max="9214" width="13.140625" style="104" bestFit="1" customWidth="1"/>
    <col min="9215" max="9218" width="14.7109375" style="104" customWidth="1"/>
    <col min="9219" max="9219" width="13.140625" style="104" bestFit="1" customWidth="1"/>
    <col min="9220" max="9454" width="8.85546875" style="104"/>
    <col min="9455" max="9459" width="1.42578125" style="104" customWidth="1"/>
    <col min="9460" max="9460" width="37" style="104" customWidth="1"/>
    <col min="9461" max="9461" width="12.28515625" style="104" bestFit="1" customWidth="1"/>
    <col min="9462" max="9462" width="11" style="104" bestFit="1" customWidth="1"/>
    <col min="9463" max="9463" width="12.7109375" style="104" bestFit="1" customWidth="1"/>
    <col min="9464" max="9464" width="12" style="104" bestFit="1" customWidth="1"/>
    <col min="9465" max="9465" width="13.140625" style="104" bestFit="1" customWidth="1"/>
    <col min="9466" max="9469" width="13.42578125" style="104" customWidth="1"/>
    <col min="9470" max="9470" width="13.140625" style="104" bestFit="1" customWidth="1"/>
    <col min="9471" max="9474" width="14.7109375" style="104" customWidth="1"/>
    <col min="9475" max="9475" width="13.140625" style="104" bestFit="1" customWidth="1"/>
    <col min="9476" max="9710" width="8.85546875" style="104"/>
    <col min="9711" max="9715" width="1.42578125" style="104" customWidth="1"/>
    <col min="9716" max="9716" width="37" style="104" customWidth="1"/>
    <col min="9717" max="9717" width="12.28515625" style="104" bestFit="1" customWidth="1"/>
    <col min="9718" max="9718" width="11" style="104" bestFit="1" customWidth="1"/>
    <col min="9719" max="9719" width="12.7109375" style="104" bestFit="1" customWidth="1"/>
    <col min="9720" max="9720" width="12" style="104" bestFit="1" customWidth="1"/>
    <col min="9721" max="9721" width="13.140625" style="104" bestFit="1" customWidth="1"/>
    <col min="9722" max="9725" width="13.42578125" style="104" customWidth="1"/>
    <col min="9726" max="9726" width="13.140625" style="104" bestFit="1" customWidth="1"/>
    <col min="9727" max="9730" width="14.7109375" style="104" customWidth="1"/>
    <col min="9731" max="9731" width="13.140625" style="104" bestFit="1" customWidth="1"/>
    <col min="9732" max="9966" width="8.85546875" style="104"/>
    <col min="9967" max="9971" width="1.42578125" style="104" customWidth="1"/>
    <col min="9972" max="9972" width="37" style="104" customWidth="1"/>
    <col min="9973" max="9973" width="12.28515625" style="104" bestFit="1" customWidth="1"/>
    <col min="9974" max="9974" width="11" style="104" bestFit="1" customWidth="1"/>
    <col min="9975" max="9975" width="12.7109375" style="104" bestFit="1" customWidth="1"/>
    <col min="9976" max="9976" width="12" style="104" bestFit="1" customWidth="1"/>
    <col min="9977" max="9977" width="13.140625" style="104" bestFit="1" customWidth="1"/>
    <col min="9978" max="9981" width="13.42578125" style="104" customWidth="1"/>
    <col min="9982" max="9982" width="13.140625" style="104" bestFit="1" customWidth="1"/>
    <col min="9983" max="9986" width="14.7109375" style="104" customWidth="1"/>
    <col min="9987" max="9987" width="13.140625" style="104" bestFit="1" customWidth="1"/>
    <col min="9988" max="10222" width="8.85546875" style="104"/>
    <col min="10223" max="10227" width="1.42578125" style="104" customWidth="1"/>
    <col min="10228" max="10228" width="37" style="104" customWidth="1"/>
    <col min="10229" max="10229" width="12.28515625" style="104" bestFit="1" customWidth="1"/>
    <col min="10230" max="10230" width="11" style="104" bestFit="1" customWidth="1"/>
    <col min="10231" max="10231" width="12.7109375" style="104" bestFit="1" customWidth="1"/>
    <col min="10232" max="10232" width="12" style="104" bestFit="1" customWidth="1"/>
    <col min="10233" max="10233" width="13.140625" style="104" bestFit="1" customWidth="1"/>
    <col min="10234" max="10237" width="13.42578125" style="104" customWidth="1"/>
    <col min="10238" max="10238" width="13.140625" style="104" bestFit="1" customWidth="1"/>
    <col min="10239" max="10242" width="14.7109375" style="104" customWidth="1"/>
    <col min="10243" max="10243" width="13.140625" style="104" bestFit="1" customWidth="1"/>
    <col min="10244" max="10478" width="8.85546875" style="104"/>
    <col min="10479" max="10483" width="1.42578125" style="104" customWidth="1"/>
    <col min="10484" max="10484" width="37" style="104" customWidth="1"/>
    <col min="10485" max="10485" width="12.28515625" style="104" bestFit="1" customWidth="1"/>
    <col min="10486" max="10486" width="11" style="104" bestFit="1" customWidth="1"/>
    <col min="10487" max="10487" width="12.7109375" style="104" bestFit="1" customWidth="1"/>
    <col min="10488" max="10488" width="12" style="104" bestFit="1" customWidth="1"/>
    <col min="10489" max="10489" width="13.140625" style="104" bestFit="1" customWidth="1"/>
    <col min="10490" max="10493" width="13.42578125" style="104" customWidth="1"/>
    <col min="10494" max="10494" width="13.140625" style="104" bestFit="1" customWidth="1"/>
    <col min="10495" max="10498" width="14.7109375" style="104" customWidth="1"/>
    <col min="10499" max="10499" width="13.140625" style="104" bestFit="1" customWidth="1"/>
    <col min="10500" max="10734" width="8.85546875" style="104"/>
    <col min="10735" max="10739" width="1.42578125" style="104" customWidth="1"/>
    <col min="10740" max="10740" width="37" style="104" customWidth="1"/>
    <col min="10741" max="10741" width="12.28515625" style="104" bestFit="1" customWidth="1"/>
    <col min="10742" max="10742" width="11" style="104" bestFit="1" customWidth="1"/>
    <col min="10743" max="10743" width="12.7109375" style="104" bestFit="1" customWidth="1"/>
    <col min="10744" max="10744" width="12" style="104" bestFit="1" customWidth="1"/>
    <col min="10745" max="10745" width="13.140625" style="104" bestFit="1" customWidth="1"/>
    <col min="10746" max="10749" width="13.42578125" style="104" customWidth="1"/>
    <col min="10750" max="10750" width="13.140625" style="104" bestFit="1" customWidth="1"/>
    <col min="10751" max="10754" width="14.7109375" style="104" customWidth="1"/>
    <col min="10755" max="10755" width="13.140625" style="104" bestFit="1" customWidth="1"/>
    <col min="10756" max="10990" width="8.85546875" style="104"/>
    <col min="10991" max="10995" width="1.42578125" style="104" customWidth="1"/>
    <col min="10996" max="10996" width="37" style="104" customWidth="1"/>
    <col min="10997" max="10997" width="12.28515625" style="104" bestFit="1" customWidth="1"/>
    <col min="10998" max="10998" width="11" style="104" bestFit="1" customWidth="1"/>
    <col min="10999" max="10999" width="12.7109375" style="104" bestFit="1" customWidth="1"/>
    <col min="11000" max="11000" width="12" style="104" bestFit="1" customWidth="1"/>
    <col min="11001" max="11001" width="13.140625" style="104" bestFit="1" customWidth="1"/>
    <col min="11002" max="11005" width="13.42578125" style="104" customWidth="1"/>
    <col min="11006" max="11006" width="13.140625" style="104" bestFit="1" customWidth="1"/>
    <col min="11007" max="11010" width="14.7109375" style="104" customWidth="1"/>
    <col min="11011" max="11011" width="13.140625" style="104" bestFit="1" customWidth="1"/>
    <col min="11012" max="11246" width="8.85546875" style="104"/>
    <col min="11247" max="11251" width="1.42578125" style="104" customWidth="1"/>
    <col min="11252" max="11252" width="37" style="104" customWidth="1"/>
    <col min="11253" max="11253" width="12.28515625" style="104" bestFit="1" customWidth="1"/>
    <col min="11254" max="11254" width="11" style="104" bestFit="1" customWidth="1"/>
    <col min="11255" max="11255" width="12.7109375" style="104" bestFit="1" customWidth="1"/>
    <col min="11256" max="11256" width="12" style="104" bestFit="1" customWidth="1"/>
    <col min="11257" max="11257" width="13.140625" style="104" bestFit="1" customWidth="1"/>
    <col min="11258" max="11261" width="13.42578125" style="104" customWidth="1"/>
    <col min="11262" max="11262" width="13.140625" style="104" bestFit="1" customWidth="1"/>
    <col min="11263" max="11266" width="14.7109375" style="104" customWidth="1"/>
    <col min="11267" max="11267" width="13.140625" style="104" bestFit="1" customWidth="1"/>
    <col min="11268" max="11502" width="8.85546875" style="104"/>
    <col min="11503" max="11507" width="1.42578125" style="104" customWidth="1"/>
    <col min="11508" max="11508" width="37" style="104" customWidth="1"/>
    <col min="11509" max="11509" width="12.28515625" style="104" bestFit="1" customWidth="1"/>
    <col min="11510" max="11510" width="11" style="104" bestFit="1" customWidth="1"/>
    <col min="11511" max="11511" width="12.7109375" style="104" bestFit="1" customWidth="1"/>
    <col min="11512" max="11512" width="12" style="104" bestFit="1" customWidth="1"/>
    <col min="11513" max="11513" width="13.140625" style="104" bestFit="1" customWidth="1"/>
    <col min="11514" max="11517" width="13.42578125" style="104" customWidth="1"/>
    <col min="11518" max="11518" width="13.140625" style="104" bestFit="1" customWidth="1"/>
    <col min="11519" max="11522" width="14.7109375" style="104" customWidth="1"/>
    <col min="11523" max="11523" width="13.140625" style="104" bestFit="1" customWidth="1"/>
    <col min="11524" max="11758" width="8.85546875" style="104"/>
    <col min="11759" max="11763" width="1.42578125" style="104" customWidth="1"/>
    <col min="11764" max="11764" width="37" style="104" customWidth="1"/>
    <col min="11765" max="11765" width="12.28515625" style="104" bestFit="1" customWidth="1"/>
    <col min="11766" max="11766" width="11" style="104" bestFit="1" customWidth="1"/>
    <col min="11767" max="11767" width="12.7109375" style="104" bestFit="1" customWidth="1"/>
    <col min="11768" max="11768" width="12" style="104" bestFit="1" customWidth="1"/>
    <col min="11769" max="11769" width="13.140625" style="104" bestFit="1" customWidth="1"/>
    <col min="11770" max="11773" width="13.42578125" style="104" customWidth="1"/>
    <col min="11774" max="11774" width="13.140625" style="104" bestFit="1" customWidth="1"/>
    <col min="11775" max="11778" width="14.7109375" style="104" customWidth="1"/>
    <col min="11779" max="11779" width="13.140625" style="104" bestFit="1" customWidth="1"/>
    <col min="11780" max="12014" width="8.85546875" style="104"/>
    <col min="12015" max="12019" width="1.42578125" style="104" customWidth="1"/>
    <col min="12020" max="12020" width="37" style="104" customWidth="1"/>
    <col min="12021" max="12021" width="12.28515625" style="104" bestFit="1" customWidth="1"/>
    <col min="12022" max="12022" width="11" style="104" bestFit="1" customWidth="1"/>
    <col min="12023" max="12023" width="12.7109375" style="104" bestFit="1" customWidth="1"/>
    <col min="12024" max="12024" width="12" style="104" bestFit="1" customWidth="1"/>
    <col min="12025" max="12025" width="13.140625" style="104" bestFit="1" customWidth="1"/>
    <col min="12026" max="12029" width="13.42578125" style="104" customWidth="1"/>
    <col min="12030" max="12030" width="13.140625" style="104" bestFit="1" customWidth="1"/>
    <col min="12031" max="12034" width="14.7109375" style="104" customWidth="1"/>
    <col min="12035" max="12035" width="13.140625" style="104" bestFit="1" customWidth="1"/>
    <col min="12036" max="12270" width="8.85546875" style="104"/>
    <col min="12271" max="12275" width="1.42578125" style="104" customWidth="1"/>
    <col min="12276" max="12276" width="37" style="104" customWidth="1"/>
    <col min="12277" max="12277" width="12.28515625" style="104" bestFit="1" customWidth="1"/>
    <col min="12278" max="12278" width="11" style="104" bestFit="1" customWidth="1"/>
    <col min="12279" max="12279" width="12.7109375" style="104" bestFit="1" customWidth="1"/>
    <col min="12280" max="12280" width="12" style="104" bestFit="1" customWidth="1"/>
    <col min="12281" max="12281" width="13.140625" style="104" bestFit="1" customWidth="1"/>
    <col min="12282" max="12285" width="13.42578125" style="104" customWidth="1"/>
    <col min="12286" max="12286" width="13.140625" style="104" bestFit="1" customWidth="1"/>
    <col min="12287" max="12290" width="14.7109375" style="104" customWidth="1"/>
    <col min="12291" max="12291" width="13.140625" style="104" bestFit="1" customWidth="1"/>
    <col min="12292" max="12526" width="8.85546875" style="104"/>
    <col min="12527" max="12531" width="1.42578125" style="104" customWidth="1"/>
    <col min="12532" max="12532" width="37" style="104" customWidth="1"/>
    <col min="12533" max="12533" width="12.28515625" style="104" bestFit="1" customWidth="1"/>
    <col min="12534" max="12534" width="11" style="104" bestFit="1" customWidth="1"/>
    <col min="12535" max="12535" width="12.7109375" style="104" bestFit="1" customWidth="1"/>
    <col min="12536" max="12536" width="12" style="104" bestFit="1" customWidth="1"/>
    <col min="12537" max="12537" width="13.140625" style="104" bestFit="1" customWidth="1"/>
    <col min="12538" max="12541" width="13.42578125" style="104" customWidth="1"/>
    <col min="12542" max="12542" width="13.140625" style="104" bestFit="1" customWidth="1"/>
    <col min="12543" max="12546" width="14.7109375" style="104" customWidth="1"/>
    <col min="12547" max="12547" width="13.140625" style="104" bestFit="1" customWidth="1"/>
    <col min="12548" max="12782" width="8.85546875" style="104"/>
    <col min="12783" max="12787" width="1.42578125" style="104" customWidth="1"/>
    <col min="12788" max="12788" width="37" style="104" customWidth="1"/>
    <col min="12789" max="12789" width="12.28515625" style="104" bestFit="1" customWidth="1"/>
    <col min="12790" max="12790" width="11" style="104" bestFit="1" customWidth="1"/>
    <col min="12791" max="12791" width="12.7109375" style="104" bestFit="1" customWidth="1"/>
    <col min="12792" max="12792" width="12" style="104" bestFit="1" customWidth="1"/>
    <col min="12793" max="12793" width="13.140625" style="104" bestFit="1" customWidth="1"/>
    <col min="12794" max="12797" width="13.42578125" style="104" customWidth="1"/>
    <col min="12798" max="12798" width="13.140625" style="104" bestFit="1" customWidth="1"/>
    <col min="12799" max="12802" width="14.7109375" style="104" customWidth="1"/>
    <col min="12803" max="12803" width="13.140625" style="104" bestFit="1" customWidth="1"/>
    <col min="12804" max="13038" width="8.85546875" style="104"/>
    <col min="13039" max="13043" width="1.42578125" style="104" customWidth="1"/>
    <col min="13044" max="13044" width="37" style="104" customWidth="1"/>
    <col min="13045" max="13045" width="12.28515625" style="104" bestFit="1" customWidth="1"/>
    <col min="13046" max="13046" width="11" style="104" bestFit="1" customWidth="1"/>
    <col min="13047" max="13047" width="12.7109375" style="104" bestFit="1" customWidth="1"/>
    <col min="13048" max="13048" width="12" style="104" bestFit="1" customWidth="1"/>
    <col min="13049" max="13049" width="13.140625" style="104" bestFit="1" customWidth="1"/>
    <col min="13050" max="13053" width="13.42578125" style="104" customWidth="1"/>
    <col min="13054" max="13054" width="13.140625" style="104" bestFit="1" customWidth="1"/>
    <col min="13055" max="13058" width="14.7109375" style="104" customWidth="1"/>
    <col min="13059" max="13059" width="13.140625" style="104" bestFit="1" customWidth="1"/>
    <col min="13060" max="13294" width="8.85546875" style="104"/>
    <col min="13295" max="13299" width="1.42578125" style="104" customWidth="1"/>
    <col min="13300" max="13300" width="37" style="104" customWidth="1"/>
    <col min="13301" max="13301" width="12.28515625" style="104" bestFit="1" customWidth="1"/>
    <col min="13302" max="13302" width="11" style="104" bestFit="1" customWidth="1"/>
    <col min="13303" max="13303" width="12.7109375" style="104" bestFit="1" customWidth="1"/>
    <col min="13304" max="13304" width="12" style="104" bestFit="1" customWidth="1"/>
    <col min="13305" max="13305" width="13.140625" style="104" bestFit="1" customWidth="1"/>
    <col min="13306" max="13309" width="13.42578125" style="104" customWidth="1"/>
    <col min="13310" max="13310" width="13.140625" style="104" bestFit="1" customWidth="1"/>
    <col min="13311" max="13314" width="14.7109375" style="104" customWidth="1"/>
    <col min="13315" max="13315" width="13.140625" style="104" bestFit="1" customWidth="1"/>
    <col min="13316" max="13550" width="8.85546875" style="104"/>
    <col min="13551" max="13555" width="1.42578125" style="104" customWidth="1"/>
    <col min="13556" max="13556" width="37" style="104" customWidth="1"/>
    <col min="13557" max="13557" width="12.28515625" style="104" bestFit="1" customWidth="1"/>
    <col min="13558" max="13558" width="11" style="104" bestFit="1" customWidth="1"/>
    <col min="13559" max="13559" width="12.7109375" style="104" bestFit="1" customWidth="1"/>
    <col min="13560" max="13560" width="12" style="104" bestFit="1" customWidth="1"/>
    <col min="13561" max="13561" width="13.140625" style="104" bestFit="1" customWidth="1"/>
    <col min="13562" max="13565" width="13.42578125" style="104" customWidth="1"/>
    <col min="13566" max="13566" width="13.140625" style="104" bestFit="1" customWidth="1"/>
    <col min="13567" max="13570" width="14.7109375" style="104" customWidth="1"/>
    <col min="13571" max="13571" width="13.140625" style="104" bestFit="1" customWidth="1"/>
    <col min="13572" max="13806" width="8.85546875" style="104"/>
    <col min="13807" max="13811" width="1.42578125" style="104" customWidth="1"/>
    <col min="13812" max="13812" width="37" style="104" customWidth="1"/>
    <col min="13813" max="13813" width="12.28515625" style="104" bestFit="1" customWidth="1"/>
    <col min="13814" max="13814" width="11" style="104" bestFit="1" customWidth="1"/>
    <col min="13815" max="13815" width="12.7109375" style="104" bestFit="1" customWidth="1"/>
    <col min="13816" max="13816" width="12" style="104" bestFit="1" customWidth="1"/>
    <col min="13817" max="13817" width="13.140625" style="104" bestFit="1" customWidth="1"/>
    <col min="13818" max="13821" width="13.42578125" style="104" customWidth="1"/>
    <col min="13822" max="13822" width="13.140625" style="104" bestFit="1" customWidth="1"/>
    <col min="13823" max="13826" width="14.7109375" style="104" customWidth="1"/>
    <col min="13827" max="13827" width="13.140625" style="104" bestFit="1" customWidth="1"/>
    <col min="13828" max="14062" width="8.85546875" style="104"/>
    <col min="14063" max="14067" width="1.42578125" style="104" customWidth="1"/>
    <col min="14068" max="14068" width="37" style="104" customWidth="1"/>
    <col min="14069" max="14069" width="12.28515625" style="104" bestFit="1" customWidth="1"/>
    <col min="14070" max="14070" width="11" style="104" bestFit="1" customWidth="1"/>
    <col min="14071" max="14071" width="12.7109375" style="104" bestFit="1" customWidth="1"/>
    <col min="14072" max="14072" width="12" style="104" bestFit="1" customWidth="1"/>
    <col min="14073" max="14073" width="13.140625" style="104" bestFit="1" customWidth="1"/>
    <col min="14074" max="14077" width="13.42578125" style="104" customWidth="1"/>
    <col min="14078" max="14078" width="13.140625" style="104" bestFit="1" customWidth="1"/>
    <col min="14079" max="14082" width="14.7109375" style="104" customWidth="1"/>
    <col min="14083" max="14083" width="13.140625" style="104" bestFit="1" customWidth="1"/>
    <col min="14084" max="14318" width="8.85546875" style="104"/>
    <col min="14319" max="14323" width="1.42578125" style="104" customWidth="1"/>
    <col min="14324" max="14324" width="37" style="104" customWidth="1"/>
    <col min="14325" max="14325" width="12.28515625" style="104" bestFit="1" customWidth="1"/>
    <col min="14326" max="14326" width="11" style="104" bestFit="1" customWidth="1"/>
    <col min="14327" max="14327" width="12.7109375" style="104" bestFit="1" customWidth="1"/>
    <col min="14328" max="14328" width="12" style="104" bestFit="1" customWidth="1"/>
    <col min="14329" max="14329" width="13.140625" style="104" bestFit="1" customWidth="1"/>
    <col min="14330" max="14333" width="13.42578125" style="104" customWidth="1"/>
    <col min="14334" max="14334" width="13.140625" style="104" bestFit="1" customWidth="1"/>
    <col min="14335" max="14338" width="14.7109375" style="104" customWidth="1"/>
    <col min="14339" max="14339" width="13.140625" style="104" bestFit="1" customWidth="1"/>
    <col min="14340" max="14574" width="8.85546875" style="104"/>
    <col min="14575" max="14579" width="1.42578125" style="104" customWidth="1"/>
    <col min="14580" max="14580" width="37" style="104" customWidth="1"/>
    <col min="14581" max="14581" width="12.28515625" style="104" bestFit="1" customWidth="1"/>
    <col min="14582" max="14582" width="11" style="104" bestFit="1" customWidth="1"/>
    <col min="14583" max="14583" width="12.7109375" style="104" bestFit="1" customWidth="1"/>
    <col min="14584" max="14584" width="12" style="104" bestFit="1" customWidth="1"/>
    <col min="14585" max="14585" width="13.140625" style="104" bestFit="1" customWidth="1"/>
    <col min="14586" max="14589" width="13.42578125" style="104" customWidth="1"/>
    <col min="14590" max="14590" width="13.140625" style="104" bestFit="1" customWidth="1"/>
    <col min="14591" max="14594" width="14.7109375" style="104" customWidth="1"/>
    <col min="14595" max="14595" width="13.140625" style="104" bestFit="1" customWidth="1"/>
    <col min="14596" max="14830" width="8.85546875" style="104"/>
    <col min="14831" max="14835" width="1.42578125" style="104" customWidth="1"/>
    <col min="14836" max="14836" width="37" style="104" customWidth="1"/>
    <col min="14837" max="14837" width="12.28515625" style="104" bestFit="1" customWidth="1"/>
    <col min="14838" max="14838" width="11" style="104" bestFit="1" customWidth="1"/>
    <col min="14839" max="14839" width="12.7109375" style="104" bestFit="1" customWidth="1"/>
    <col min="14840" max="14840" width="12" style="104" bestFit="1" customWidth="1"/>
    <col min="14841" max="14841" width="13.140625" style="104" bestFit="1" customWidth="1"/>
    <col min="14842" max="14845" width="13.42578125" style="104" customWidth="1"/>
    <col min="14846" max="14846" width="13.140625" style="104" bestFit="1" customWidth="1"/>
    <col min="14847" max="14850" width="14.7109375" style="104" customWidth="1"/>
    <col min="14851" max="14851" width="13.140625" style="104" bestFit="1" customWidth="1"/>
    <col min="14852" max="15086" width="8.85546875" style="104"/>
    <col min="15087" max="15091" width="1.42578125" style="104" customWidth="1"/>
    <col min="15092" max="15092" width="37" style="104" customWidth="1"/>
    <col min="15093" max="15093" width="12.28515625" style="104" bestFit="1" customWidth="1"/>
    <col min="15094" max="15094" width="11" style="104" bestFit="1" customWidth="1"/>
    <col min="15095" max="15095" width="12.7109375" style="104" bestFit="1" customWidth="1"/>
    <col min="15096" max="15096" width="12" style="104" bestFit="1" customWidth="1"/>
    <col min="15097" max="15097" width="13.140625" style="104" bestFit="1" customWidth="1"/>
    <col min="15098" max="15101" width="13.42578125" style="104" customWidth="1"/>
    <col min="15102" max="15102" width="13.140625" style="104" bestFit="1" customWidth="1"/>
    <col min="15103" max="15106" width="14.7109375" style="104" customWidth="1"/>
    <col min="15107" max="15107" width="13.140625" style="104" bestFit="1" customWidth="1"/>
    <col min="15108" max="15342" width="8.85546875" style="104"/>
    <col min="15343" max="15347" width="1.42578125" style="104" customWidth="1"/>
    <col min="15348" max="15348" width="37" style="104" customWidth="1"/>
    <col min="15349" max="15349" width="12.28515625" style="104" bestFit="1" customWidth="1"/>
    <col min="15350" max="15350" width="11" style="104" bestFit="1" customWidth="1"/>
    <col min="15351" max="15351" width="12.7109375" style="104" bestFit="1" customWidth="1"/>
    <col min="15352" max="15352" width="12" style="104" bestFit="1" customWidth="1"/>
    <col min="15353" max="15353" width="13.140625" style="104" bestFit="1" customWidth="1"/>
    <col min="15354" max="15357" width="13.42578125" style="104" customWidth="1"/>
    <col min="15358" max="15358" width="13.140625" style="104" bestFit="1" customWidth="1"/>
    <col min="15359" max="15362" width="14.7109375" style="104" customWidth="1"/>
    <col min="15363" max="15363" width="13.140625" style="104" bestFit="1" customWidth="1"/>
    <col min="15364" max="15598" width="8.85546875" style="104"/>
    <col min="15599" max="15603" width="1.42578125" style="104" customWidth="1"/>
    <col min="15604" max="15604" width="37" style="104" customWidth="1"/>
    <col min="15605" max="15605" width="12.28515625" style="104" bestFit="1" customWidth="1"/>
    <col min="15606" max="15606" width="11" style="104" bestFit="1" customWidth="1"/>
    <col min="15607" max="15607" width="12.7109375" style="104" bestFit="1" customWidth="1"/>
    <col min="15608" max="15608" width="12" style="104" bestFit="1" customWidth="1"/>
    <col min="15609" max="15609" width="13.140625" style="104" bestFit="1" customWidth="1"/>
    <col min="15610" max="15613" width="13.42578125" style="104" customWidth="1"/>
    <col min="15614" max="15614" width="13.140625" style="104" bestFit="1" customWidth="1"/>
    <col min="15615" max="15618" width="14.7109375" style="104" customWidth="1"/>
    <col min="15619" max="15619" width="13.140625" style="104" bestFit="1" customWidth="1"/>
    <col min="15620" max="15854" width="8.85546875" style="104"/>
    <col min="15855" max="15859" width="1.42578125" style="104" customWidth="1"/>
    <col min="15860" max="15860" width="37" style="104" customWidth="1"/>
    <col min="15861" max="15861" width="12.28515625" style="104" bestFit="1" customWidth="1"/>
    <col min="15862" max="15862" width="11" style="104" bestFit="1" customWidth="1"/>
    <col min="15863" max="15863" width="12.7109375" style="104" bestFit="1" customWidth="1"/>
    <col min="15864" max="15864" width="12" style="104" bestFit="1" customWidth="1"/>
    <col min="15865" max="15865" width="13.140625" style="104" bestFit="1" customWidth="1"/>
    <col min="15866" max="15869" width="13.42578125" style="104" customWidth="1"/>
    <col min="15870" max="15870" width="13.140625" style="104" bestFit="1" customWidth="1"/>
    <col min="15871" max="15874" width="14.7109375" style="104" customWidth="1"/>
    <col min="15875" max="15875" width="13.140625" style="104" bestFit="1" customWidth="1"/>
    <col min="15876" max="16110" width="8.85546875" style="104"/>
    <col min="16111" max="16115" width="1.42578125" style="104" customWidth="1"/>
    <col min="16116" max="16116" width="37" style="104" customWidth="1"/>
    <col min="16117" max="16117" width="12.28515625" style="104" bestFit="1" customWidth="1"/>
    <col min="16118" max="16118" width="11" style="104" bestFit="1" customWidth="1"/>
    <col min="16119" max="16119" width="12.7109375" style="104" bestFit="1" customWidth="1"/>
    <col min="16120" max="16120" width="12" style="104" bestFit="1" customWidth="1"/>
    <col min="16121" max="16121" width="13.140625" style="104" bestFit="1" customWidth="1"/>
    <col min="16122" max="16125" width="13.42578125" style="104" customWidth="1"/>
    <col min="16126" max="16126" width="13.140625" style="104" bestFit="1" customWidth="1"/>
    <col min="16127" max="16130" width="14.7109375" style="104" customWidth="1"/>
    <col min="16131" max="16131" width="13.140625" style="104" bestFit="1" customWidth="1"/>
    <col min="16132" max="16384" width="8.85546875" style="104"/>
  </cols>
  <sheetData>
    <row r="1" spans="1:19" s="47" customFormat="1" ht="15" x14ac:dyDescent="0.25">
      <c r="A1" s="46" t="s">
        <v>120</v>
      </c>
      <c r="B1" s="46"/>
      <c r="C1" s="46"/>
      <c r="D1" s="46"/>
    </row>
    <row r="2" spans="1:19" s="47" customFormat="1" ht="15" x14ac:dyDescent="0.25">
      <c r="A2" s="46" t="s">
        <v>210</v>
      </c>
      <c r="B2" s="46"/>
      <c r="C2" s="46"/>
      <c r="D2" s="46"/>
    </row>
    <row r="3" spans="1:19" s="47" customFormat="1" ht="15" x14ac:dyDescent="0.25">
      <c r="A3" s="48" t="s">
        <v>122</v>
      </c>
      <c r="B3" s="46"/>
      <c r="C3" s="46"/>
      <c r="D3" s="46"/>
    </row>
    <row r="4" spans="1:19" s="47" customFormat="1" x14ac:dyDescent="0.2">
      <c r="A4" s="438" t="s">
        <v>211</v>
      </c>
      <c r="B4" s="439"/>
      <c r="C4" s="439"/>
      <c r="D4" s="439"/>
      <c r="E4" s="439"/>
      <c r="F4" s="439"/>
    </row>
    <row r="5" spans="1:19" s="47" customFormat="1" ht="33.75" customHeight="1" x14ac:dyDescent="0.2">
      <c r="A5" s="48"/>
      <c r="B5" s="48"/>
      <c r="C5" s="48"/>
      <c r="D5" s="48"/>
      <c r="F5" s="129"/>
      <c r="G5" s="440" t="s">
        <v>212</v>
      </c>
      <c r="H5" s="440"/>
      <c r="I5" s="440"/>
      <c r="J5" s="440"/>
      <c r="K5" s="130" t="s">
        <v>213</v>
      </c>
      <c r="L5" s="441" t="s">
        <v>212</v>
      </c>
      <c r="M5" s="441"/>
      <c r="N5" s="441"/>
      <c r="O5" s="441"/>
      <c r="P5" s="130" t="s">
        <v>213</v>
      </c>
      <c r="Q5" s="131" t="s">
        <v>212</v>
      </c>
      <c r="R5" s="132"/>
      <c r="S5" s="133"/>
    </row>
    <row r="6" spans="1:19" s="47" customFormat="1" x14ac:dyDescent="0.2">
      <c r="A6" s="48"/>
      <c r="B6" s="48"/>
      <c r="C6" s="48"/>
      <c r="D6" s="48"/>
      <c r="E6" s="134"/>
      <c r="F6" s="134"/>
      <c r="G6" s="134" t="s">
        <v>126</v>
      </c>
      <c r="H6" s="134" t="s">
        <v>127</v>
      </c>
      <c r="I6" s="134" t="s">
        <v>128</v>
      </c>
      <c r="J6" s="134" t="s">
        <v>129</v>
      </c>
      <c r="K6" s="82" t="s">
        <v>129</v>
      </c>
      <c r="L6" s="134" t="s">
        <v>126</v>
      </c>
      <c r="M6" s="134" t="s">
        <v>127</v>
      </c>
      <c r="N6" s="134" t="s">
        <v>128</v>
      </c>
      <c r="O6" s="134" t="s">
        <v>129</v>
      </c>
      <c r="P6" s="82" t="s">
        <v>129</v>
      </c>
      <c r="Q6" s="134" t="s">
        <v>126</v>
      </c>
      <c r="R6" s="134"/>
      <c r="S6" s="134"/>
    </row>
    <row r="7" spans="1:19" s="47" customFormat="1" x14ac:dyDescent="0.2">
      <c r="A7" s="48"/>
      <c r="B7" s="48"/>
      <c r="C7" s="48"/>
      <c r="D7" s="48"/>
      <c r="E7" s="54"/>
      <c r="F7" s="54"/>
      <c r="G7" s="54">
        <v>2020</v>
      </c>
      <c r="H7" s="54">
        <v>2020</v>
      </c>
      <c r="I7" s="54">
        <v>2020</v>
      </c>
      <c r="J7" s="54">
        <v>2020</v>
      </c>
      <c r="K7" s="55">
        <v>2020</v>
      </c>
      <c r="L7" s="54">
        <v>2021</v>
      </c>
      <c r="M7" s="54">
        <v>2021</v>
      </c>
      <c r="N7" s="54">
        <v>2021</v>
      </c>
      <c r="O7" s="54">
        <v>2021</v>
      </c>
      <c r="P7" s="55">
        <v>2021</v>
      </c>
      <c r="Q7" s="54">
        <v>2022</v>
      </c>
      <c r="R7" s="54"/>
      <c r="S7" s="54"/>
    </row>
    <row r="8" spans="1:19" x14ac:dyDescent="0.2">
      <c r="A8" s="48"/>
      <c r="B8" s="48"/>
      <c r="C8" s="48"/>
      <c r="D8" s="48"/>
      <c r="E8" s="54"/>
      <c r="F8" s="54"/>
      <c r="G8" s="54"/>
      <c r="H8" s="54"/>
      <c r="I8" s="54"/>
      <c r="J8" s="54"/>
      <c r="K8" s="55"/>
      <c r="L8" s="54"/>
      <c r="M8" s="54"/>
      <c r="N8" s="54"/>
      <c r="O8" s="54"/>
      <c r="P8" s="55"/>
      <c r="Q8" s="54"/>
      <c r="R8" s="54"/>
      <c r="S8" s="54"/>
    </row>
    <row r="9" spans="1:19" x14ac:dyDescent="0.2">
      <c r="A9" s="135" t="s">
        <v>214</v>
      </c>
      <c r="B9" s="135"/>
      <c r="G9" s="136"/>
      <c r="H9" s="136"/>
      <c r="I9" s="136"/>
      <c r="J9" s="136"/>
      <c r="K9" s="137"/>
      <c r="L9" s="136"/>
      <c r="M9" s="136"/>
      <c r="N9" s="136"/>
      <c r="O9" s="136"/>
      <c r="P9" s="137"/>
      <c r="Q9" s="136"/>
      <c r="R9" s="136"/>
      <c r="S9" s="135"/>
    </row>
    <row r="10" spans="1:19" s="138" customFormat="1" x14ac:dyDescent="0.2">
      <c r="B10" s="139" t="s">
        <v>215</v>
      </c>
      <c r="G10" s="140">
        <v>2702776</v>
      </c>
      <c r="H10" s="140">
        <v>2839670</v>
      </c>
      <c r="I10" s="140">
        <v>2933445</v>
      </c>
      <c r="J10" s="140">
        <v>2979505</v>
      </c>
      <c r="K10" s="141">
        <f>SUM(G10:J10)</f>
        <v>11455396</v>
      </c>
      <c r="L10" s="140">
        <v>3170972</v>
      </c>
      <c r="M10" s="140">
        <v>3234643</v>
      </c>
      <c r="N10" s="140">
        <v>3257697</v>
      </c>
      <c r="O10" s="140">
        <v>3308788</v>
      </c>
      <c r="P10" s="141">
        <f>SUM(L10:O10)</f>
        <v>12972100</v>
      </c>
      <c r="Q10" s="140">
        <v>3350424</v>
      </c>
      <c r="R10" s="140"/>
      <c r="S10" s="142"/>
    </row>
    <row r="11" spans="1:19" s="138" customFormat="1" x14ac:dyDescent="0.2">
      <c r="B11" s="139" t="s">
        <v>237</v>
      </c>
      <c r="G11" s="140"/>
      <c r="H11" s="159">
        <f>H10/G10-1</f>
        <v>5.0649406388098672E-2</v>
      </c>
      <c r="I11" s="159">
        <f t="shared" ref="I11" si="0">I10/H10-1</f>
        <v>3.3023203400395218E-2</v>
      </c>
      <c r="J11" s="159">
        <f t="shared" ref="J11" si="1">J10/I10-1</f>
        <v>1.5701674993054304E-2</v>
      </c>
      <c r="K11" s="141"/>
      <c r="L11" s="159">
        <f>L10/J10-1</f>
        <v>6.426134542482731E-2</v>
      </c>
      <c r="M11" s="159">
        <f t="shared" ref="M11" si="2">M10/L10-1</f>
        <v>2.0079332141690331E-2</v>
      </c>
      <c r="N11" s="159">
        <f t="shared" ref="N11" si="3">N10/M10-1</f>
        <v>7.1272162028390706E-3</v>
      </c>
      <c r="O11" s="159">
        <f t="shared" ref="O11" si="4">O10/N10-1</f>
        <v>1.568316513168666E-2</v>
      </c>
      <c r="P11" s="160">
        <f>P10/K10-1</f>
        <v>0.13240083537923963</v>
      </c>
      <c r="Q11" s="159">
        <f>Q10/O10-1</f>
        <v>1.2583459562836907E-2</v>
      </c>
      <c r="R11" s="140" t="s">
        <v>297</v>
      </c>
      <c r="S11" s="142"/>
    </row>
    <row r="12" spans="1:19" s="138" customFormat="1" x14ac:dyDescent="0.2">
      <c r="B12" s="139" t="s">
        <v>330</v>
      </c>
      <c r="G12" s="140"/>
      <c r="H12" s="159"/>
      <c r="I12" s="159"/>
      <c r="J12" s="159"/>
      <c r="K12" s="141"/>
      <c r="L12" s="159">
        <f>L10/G10-1</f>
        <v>0.17322782206146559</v>
      </c>
      <c r="M12" s="159">
        <f t="shared" ref="M12:P12" si="5">M10/H10-1</f>
        <v>0.13909116200121852</v>
      </c>
      <c r="N12" s="159">
        <f t="shared" si="5"/>
        <v>0.11053624663152029</v>
      </c>
      <c r="O12" s="159">
        <f t="shared" si="5"/>
        <v>0.11051600853161858</v>
      </c>
      <c r="P12" s="159">
        <f t="shared" si="5"/>
        <v>0.13240083537923963</v>
      </c>
      <c r="Q12" s="159">
        <f>Q10/L10-1</f>
        <v>5.6592111188619842E-2</v>
      </c>
      <c r="R12" s="159">
        <f>AVERAGE(L12:Q12)</f>
        <v>0.12039403096561374</v>
      </c>
      <c r="S12" s="142"/>
    </row>
    <row r="13" spans="1:19" x14ac:dyDescent="0.2">
      <c r="A13" s="135"/>
      <c r="B13" s="143" t="s">
        <v>216</v>
      </c>
      <c r="G13" s="105">
        <v>2307</v>
      </c>
      <c r="H13" s="105">
        <v>2935</v>
      </c>
      <c r="I13" s="105">
        <v>177</v>
      </c>
      <c r="J13" s="105">
        <v>855</v>
      </c>
      <c r="K13" s="114">
        <f>SUM(G13:J13)</f>
        <v>6274</v>
      </c>
      <c r="L13" s="105">
        <v>448</v>
      </c>
      <c r="M13" s="105">
        <v>-433</v>
      </c>
      <c r="N13" s="105">
        <v>73</v>
      </c>
      <c r="O13" s="105">
        <v>1191</v>
      </c>
      <c r="P13" s="114">
        <f>SUM(L13:O13)</f>
        <v>1279</v>
      </c>
      <c r="Q13" s="105">
        <v>-636</v>
      </c>
      <c r="R13" s="105">
        <f>SUM(G13:Q13)</f>
        <v>14470</v>
      </c>
      <c r="S13" s="110"/>
    </row>
    <row r="14" spans="1:19" x14ac:dyDescent="0.2">
      <c r="A14" s="135"/>
      <c r="B14" s="143" t="s">
        <v>331</v>
      </c>
      <c r="G14" s="105"/>
      <c r="H14" s="159">
        <f>H13/G13-1</f>
        <v>0.2722149978326831</v>
      </c>
      <c r="I14" s="159">
        <f t="shared" ref="I14:Q14" si="6">I13/H13-1</f>
        <v>-0.93969335604770021</v>
      </c>
      <c r="J14" s="159">
        <f t="shared" si="6"/>
        <v>3.8305084745762707</v>
      </c>
      <c r="K14" s="159">
        <f t="shared" si="6"/>
        <v>6.3380116959064328</v>
      </c>
      <c r="L14" s="159">
        <f t="shared" si="6"/>
        <v>-0.92859419827861012</v>
      </c>
      <c r="M14" s="159">
        <f t="shared" si="6"/>
        <v>-1.9665178571428572</v>
      </c>
      <c r="N14" s="159">
        <f t="shared" si="6"/>
        <v>-1.1685912240184757</v>
      </c>
      <c r="O14" s="159">
        <f t="shared" si="6"/>
        <v>15.315068493150687</v>
      </c>
      <c r="P14" s="159">
        <f t="shared" si="6"/>
        <v>7.3887489504617987E-2</v>
      </c>
      <c r="Q14" s="159">
        <f t="shared" si="6"/>
        <v>-1.4972634870992962</v>
      </c>
      <c r="R14" s="105"/>
      <c r="S14" s="110"/>
    </row>
    <row r="15" spans="1:19" x14ac:dyDescent="0.2">
      <c r="A15" s="135"/>
      <c r="B15" s="143" t="s">
        <v>330</v>
      </c>
      <c r="G15" s="105"/>
      <c r="H15" s="105"/>
      <c r="I15" s="105"/>
      <c r="J15" s="105"/>
      <c r="K15" s="114"/>
      <c r="L15" s="159">
        <f>L13/G13-1</f>
        <v>-0.80580840918942354</v>
      </c>
      <c r="M15" s="159">
        <f t="shared" ref="M15" si="7">M13/H13-1</f>
        <v>-1.1475298126064737</v>
      </c>
      <c r="N15" s="159">
        <f t="shared" ref="N15" si="8">N13/I13-1</f>
        <v>-0.58757062146892658</v>
      </c>
      <c r="O15" s="159">
        <f t="shared" ref="O15" si="9">O13/J13-1</f>
        <v>0.39298245614035077</v>
      </c>
      <c r="P15" s="159">
        <f>P13/K13-1</f>
        <v>-0.7961428116034428</v>
      </c>
      <c r="Q15" s="159">
        <f>Q13/L13-1</f>
        <v>-2.4196428571428572</v>
      </c>
      <c r="R15" s="105"/>
      <c r="S15" s="110"/>
    </row>
    <row r="16" spans="1:19" x14ac:dyDescent="0.2">
      <c r="A16" s="135"/>
      <c r="B16" s="143" t="s">
        <v>217</v>
      </c>
      <c r="G16" s="105">
        <v>69969</v>
      </c>
      <c r="H16" s="105">
        <v>72904</v>
      </c>
      <c r="I16" s="105">
        <v>73081</v>
      </c>
      <c r="J16" s="105">
        <v>73936</v>
      </c>
      <c r="K16" s="114">
        <f>J16</f>
        <v>73936</v>
      </c>
      <c r="L16" s="105">
        <v>74384</v>
      </c>
      <c r="M16" s="105">
        <v>73951</v>
      </c>
      <c r="N16" s="105">
        <v>74024</v>
      </c>
      <c r="O16" s="105">
        <v>75215</v>
      </c>
      <c r="P16" s="114">
        <f>O16</f>
        <v>75215</v>
      </c>
      <c r="Q16" s="105">
        <v>74579</v>
      </c>
      <c r="R16" s="105"/>
      <c r="S16" s="110"/>
    </row>
    <row r="17" spans="1:19" x14ac:dyDescent="0.2">
      <c r="A17" s="135"/>
      <c r="B17" s="143" t="s">
        <v>218</v>
      </c>
      <c r="G17" s="105">
        <v>68816</v>
      </c>
      <c r="H17" s="105">
        <v>71437</v>
      </c>
      <c r="I17" s="105">
        <v>72993</v>
      </c>
      <c r="J17" s="105">
        <v>73509</v>
      </c>
      <c r="K17" s="114">
        <v>71689</v>
      </c>
      <c r="L17" s="105">
        <v>74160</v>
      </c>
      <c r="M17" s="105">
        <v>74168</v>
      </c>
      <c r="N17" s="105">
        <v>73988</v>
      </c>
      <c r="O17" s="105">
        <v>74620</v>
      </c>
      <c r="P17" s="114">
        <v>74234</v>
      </c>
      <c r="Q17" s="105">
        <v>74897</v>
      </c>
      <c r="R17" s="105"/>
      <c r="S17" s="110"/>
    </row>
    <row r="18" spans="1:19" s="138" customFormat="1" x14ac:dyDescent="0.2">
      <c r="B18" s="139" t="s">
        <v>219</v>
      </c>
      <c r="G18" s="144">
        <v>13.09</v>
      </c>
      <c r="H18" s="144">
        <v>13.25</v>
      </c>
      <c r="I18" s="144">
        <v>13.4</v>
      </c>
      <c r="J18" s="144">
        <v>13.51</v>
      </c>
      <c r="K18" s="145">
        <v>13.32</v>
      </c>
      <c r="L18" s="144">
        <v>14.25</v>
      </c>
      <c r="M18" s="144">
        <v>14.54</v>
      </c>
      <c r="N18" s="144">
        <v>14.68</v>
      </c>
      <c r="O18" s="144">
        <v>14.78</v>
      </c>
      <c r="P18" s="145">
        <v>14.56</v>
      </c>
      <c r="Q18" s="144">
        <v>14.91</v>
      </c>
      <c r="R18" s="144"/>
      <c r="S18" s="146"/>
    </row>
    <row r="19" spans="1:19" s="138" customFormat="1" x14ac:dyDescent="0.2">
      <c r="B19" s="139" t="s">
        <v>220</v>
      </c>
      <c r="G19" s="147">
        <v>0.14000000000000001</v>
      </c>
      <c r="H19" s="147">
        <v>0.06</v>
      </c>
      <c r="I19" s="147">
        <v>0.02</v>
      </c>
      <c r="J19" s="147">
        <v>0.02</v>
      </c>
      <c r="K19" s="148">
        <v>0.06</v>
      </c>
      <c r="L19" s="147">
        <v>0.09</v>
      </c>
      <c r="M19" s="147">
        <v>0.1</v>
      </c>
      <c r="N19" s="147">
        <v>0.1</v>
      </c>
      <c r="O19" s="147">
        <v>0.09</v>
      </c>
      <c r="P19" s="148">
        <v>0.09</v>
      </c>
      <c r="Q19" s="147">
        <v>4.5999999999999999E-2</v>
      </c>
      <c r="R19" s="147"/>
      <c r="S19" s="149"/>
    </row>
    <row r="20" spans="1:19" s="138" customFormat="1" x14ac:dyDescent="0.2">
      <c r="B20" s="139" t="s">
        <v>221</v>
      </c>
      <c r="G20" s="147">
        <v>0.14000000000000001</v>
      </c>
      <c r="H20" s="147">
        <v>0.06</v>
      </c>
      <c r="I20" s="147">
        <v>0.03</v>
      </c>
      <c r="J20" s="147">
        <v>0.02</v>
      </c>
      <c r="K20" s="148">
        <v>0.06</v>
      </c>
      <c r="L20" s="147">
        <v>0.09</v>
      </c>
      <c r="M20" s="147">
        <v>0.09</v>
      </c>
      <c r="N20" s="147">
        <v>0.09</v>
      </c>
      <c r="O20" s="147">
        <v>0.09</v>
      </c>
      <c r="P20" s="148">
        <v>0.09</v>
      </c>
      <c r="Q20" s="147">
        <v>4.5999999999999999E-2</v>
      </c>
      <c r="R20" s="147"/>
      <c r="S20" s="149"/>
    </row>
    <row r="21" spans="1:19" x14ac:dyDescent="0.2">
      <c r="G21" s="150"/>
      <c r="H21" s="150"/>
      <c r="I21" s="150"/>
      <c r="J21" s="150"/>
      <c r="K21" s="137"/>
      <c r="L21" s="150"/>
      <c r="M21" s="150"/>
      <c r="N21" s="150"/>
      <c r="O21" s="150"/>
      <c r="P21" s="137"/>
      <c r="Q21" s="150"/>
      <c r="R21" s="150"/>
      <c r="S21" s="135"/>
    </row>
    <row r="22" spans="1:19" x14ac:dyDescent="0.2">
      <c r="A22" s="135" t="s">
        <v>222</v>
      </c>
      <c r="B22" s="135"/>
      <c r="G22" s="151"/>
      <c r="H22" s="151"/>
      <c r="I22" s="151"/>
      <c r="J22" s="151"/>
      <c r="K22" s="152"/>
      <c r="L22" s="151"/>
      <c r="M22" s="151"/>
      <c r="N22" s="151"/>
      <c r="O22" s="151"/>
      <c r="P22" s="152"/>
      <c r="Q22" s="151"/>
      <c r="R22" s="151"/>
      <c r="S22" s="153"/>
    </row>
    <row r="23" spans="1:19" s="138" customFormat="1" x14ac:dyDescent="0.2">
      <c r="B23" s="139" t="s">
        <v>130</v>
      </c>
      <c r="G23" s="140">
        <v>1723474</v>
      </c>
      <c r="H23" s="140">
        <v>1892537</v>
      </c>
      <c r="I23" s="140">
        <v>2019083</v>
      </c>
      <c r="J23" s="140">
        <v>2137158</v>
      </c>
      <c r="K23" s="141">
        <f>SUM(G23:J23)</f>
        <v>7772252</v>
      </c>
      <c r="L23" s="140">
        <v>2343674</v>
      </c>
      <c r="M23" s="140">
        <v>2400480</v>
      </c>
      <c r="N23" s="140">
        <v>2432239</v>
      </c>
      <c r="O23" s="140">
        <v>2523426</v>
      </c>
      <c r="P23" s="141">
        <f>SUM(L23:O23)</f>
        <v>9699819</v>
      </c>
      <c r="Q23" s="140">
        <v>2561831</v>
      </c>
      <c r="R23" s="140"/>
      <c r="S23" s="142"/>
    </row>
    <row r="24" spans="1:19" s="138" customFormat="1" x14ac:dyDescent="0.2">
      <c r="B24" s="139" t="s">
        <v>237</v>
      </c>
      <c r="G24" s="140"/>
      <c r="H24" s="159">
        <f>H23/G23-1</f>
        <v>9.8094314158496232E-2</v>
      </c>
      <c r="I24" s="159">
        <f t="shared" ref="I24" si="10">I23/H23-1</f>
        <v>6.6865799717521934E-2</v>
      </c>
      <c r="J24" s="159">
        <f t="shared" ref="J24" si="11">J23/I23-1</f>
        <v>5.8479517682036741E-2</v>
      </c>
      <c r="K24" s="141"/>
      <c r="L24" s="159">
        <f>L23/J23-1</f>
        <v>9.6631133495979293E-2</v>
      </c>
      <c r="M24" s="159">
        <f t="shared" ref="M24" si="12">M23/L23-1</f>
        <v>2.4238012624622662E-2</v>
      </c>
      <c r="N24" s="159">
        <f t="shared" ref="N24" si="13">N23/M23-1</f>
        <v>1.3230270612544226E-2</v>
      </c>
      <c r="O24" s="159">
        <f t="shared" ref="O24" si="14">O23/N23-1</f>
        <v>3.7490970254156819E-2</v>
      </c>
      <c r="P24" s="160">
        <f>P23/K23-1</f>
        <v>0.24800624066229449</v>
      </c>
      <c r="Q24" s="159">
        <f>Q23/O23-1</f>
        <v>1.5219388244394727E-2</v>
      </c>
      <c r="R24" s="140"/>
      <c r="S24" s="142"/>
    </row>
    <row r="25" spans="1:19" s="138" customFormat="1" x14ac:dyDescent="0.2">
      <c r="B25" s="139" t="s">
        <v>330</v>
      </c>
      <c r="G25" s="140"/>
      <c r="H25" s="159"/>
      <c r="I25" s="159"/>
      <c r="J25" s="159"/>
      <c r="K25" s="141"/>
      <c r="L25" s="159">
        <f>L23/G23-1</f>
        <v>0.35985457279889332</v>
      </c>
      <c r="M25" s="159">
        <f t="shared" ref="M25" si="15">M23/H23-1</f>
        <v>0.26839263908710898</v>
      </c>
      <c r="N25" s="159">
        <f t="shared" ref="N25" si="16">N23/I23-1</f>
        <v>0.20462556516993113</v>
      </c>
      <c r="O25" s="159">
        <f t="shared" ref="O25:P25" si="17">O23/J23-1</f>
        <v>0.18073909369358754</v>
      </c>
      <c r="P25" s="159">
        <f t="shared" si="17"/>
        <v>0.24800624066229449</v>
      </c>
      <c r="Q25" s="159">
        <f>Q23/L23-1</f>
        <v>9.3083338382385916E-2</v>
      </c>
      <c r="R25" s="159">
        <f>AVERAGE(L25:Q25)</f>
        <v>0.22578357496570023</v>
      </c>
      <c r="S25" s="142"/>
    </row>
    <row r="26" spans="1:19" x14ac:dyDescent="0.2">
      <c r="A26" s="135"/>
      <c r="B26" s="143" t="s">
        <v>216</v>
      </c>
      <c r="D26" s="47"/>
      <c r="E26" s="47"/>
      <c r="G26" s="105">
        <v>6956</v>
      </c>
      <c r="H26" s="105">
        <v>2749</v>
      </c>
      <c r="I26" s="105">
        <v>759</v>
      </c>
      <c r="J26" s="105">
        <v>4456</v>
      </c>
      <c r="K26" s="114">
        <f>SUM(G26:J26)</f>
        <v>14920</v>
      </c>
      <c r="L26" s="105">
        <v>1810</v>
      </c>
      <c r="M26" s="105">
        <v>188</v>
      </c>
      <c r="N26" s="105">
        <v>1804</v>
      </c>
      <c r="O26" s="105">
        <v>3536</v>
      </c>
      <c r="P26" s="114">
        <f>SUM(L26:O26)</f>
        <v>7338</v>
      </c>
      <c r="Q26" s="105">
        <v>-303</v>
      </c>
      <c r="R26" s="105"/>
      <c r="S26" s="110"/>
    </row>
    <row r="27" spans="1:19" x14ac:dyDescent="0.2">
      <c r="A27" s="135"/>
      <c r="B27" s="143" t="s">
        <v>217</v>
      </c>
      <c r="D27" s="47"/>
      <c r="E27" s="47"/>
      <c r="G27" s="105">
        <v>58734</v>
      </c>
      <c r="H27" s="105">
        <v>61483</v>
      </c>
      <c r="I27" s="105">
        <v>62242</v>
      </c>
      <c r="J27" s="105">
        <v>66698</v>
      </c>
      <c r="K27" s="114">
        <f>J27</f>
        <v>66698</v>
      </c>
      <c r="L27" s="105">
        <v>68508</v>
      </c>
      <c r="M27" s="105">
        <v>68696</v>
      </c>
      <c r="N27" s="105">
        <v>70500</v>
      </c>
      <c r="O27" s="105">
        <v>74036</v>
      </c>
      <c r="P27" s="114">
        <f>O27</f>
        <v>74036</v>
      </c>
      <c r="Q27" s="105">
        <v>73733</v>
      </c>
      <c r="R27" s="105"/>
      <c r="S27" s="110"/>
    </row>
    <row r="28" spans="1:19" x14ac:dyDescent="0.2">
      <c r="A28" s="135"/>
      <c r="B28" s="143" t="s">
        <v>218</v>
      </c>
      <c r="D28" s="47"/>
      <c r="E28" s="47"/>
      <c r="G28" s="105">
        <v>55256</v>
      </c>
      <c r="H28" s="105">
        <v>60109</v>
      </c>
      <c r="I28" s="105">
        <v>61863</v>
      </c>
      <c r="J28" s="105">
        <v>64470</v>
      </c>
      <c r="K28" s="114">
        <v>60425</v>
      </c>
      <c r="L28" s="105">
        <v>67603</v>
      </c>
      <c r="M28" s="105">
        <v>68602</v>
      </c>
      <c r="N28" s="105">
        <v>69598</v>
      </c>
      <c r="O28" s="105">
        <v>72268</v>
      </c>
      <c r="P28" s="114">
        <v>69518</v>
      </c>
      <c r="Q28" s="105">
        <v>73885</v>
      </c>
      <c r="R28" s="105"/>
      <c r="S28" s="110"/>
    </row>
    <row r="29" spans="1:19" s="138" customFormat="1" x14ac:dyDescent="0.2">
      <c r="B29" s="139" t="s">
        <v>219</v>
      </c>
      <c r="G29" s="144">
        <v>10.4</v>
      </c>
      <c r="H29" s="144">
        <v>10.5</v>
      </c>
      <c r="I29" s="144">
        <v>10.88</v>
      </c>
      <c r="J29" s="144">
        <v>11.05</v>
      </c>
      <c r="K29" s="145">
        <v>10.72</v>
      </c>
      <c r="L29" s="144">
        <v>11.56</v>
      </c>
      <c r="M29" s="144">
        <v>11.66</v>
      </c>
      <c r="N29" s="144">
        <v>11.65</v>
      </c>
      <c r="O29" s="144">
        <v>11.64</v>
      </c>
      <c r="P29" s="145">
        <v>11.63</v>
      </c>
      <c r="Q29" s="144">
        <v>11.56</v>
      </c>
      <c r="R29" s="144"/>
      <c r="S29" s="146"/>
    </row>
    <row r="30" spans="1:19" s="138" customFormat="1" x14ac:dyDescent="0.2">
      <c r="B30" s="139" t="s">
        <v>220</v>
      </c>
      <c r="G30" s="147">
        <v>0.02</v>
      </c>
      <c r="H30" s="147">
        <v>0.04</v>
      </c>
      <c r="I30" s="147">
        <v>0.05</v>
      </c>
      <c r="J30" s="147">
        <v>0.05</v>
      </c>
      <c r="K30" s="148">
        <v>0.04</v>
      </c>
      <c r="L30" s="147">
        <v>0.11</v>
      </c>
      <c r="M30" s="147">
        <v>0.11</v>
      </c>
      <c r="N30" s="147">
        <v>7.0000000000000007E-2</v>
      </c>
      <c r="O30" s="147">
        <v>0.05</v>
      </c>
      <c r="P30" s="148">
        <v>0.08</v>
      </c>
      <c r="Q30" s="147">
        <v>0</v>
      </c>
      <c r="R30" s="147"/>
      <c r="S30" s="149"/>
    </row>
    <row r="31" spans="1:19" s="138" customFormat="1" x14ac:dyDescent="0.2">
      <c r="B31" s="139" t="s">
        <v>221</v>
      </c>
      <c r="G31" s="147">
        <v>0.04</v>
      </c>
      <c r="H31" s="147">
        <v>0.08</v>
      </c>
      <c r="I31" s="147">
        <v>0.03</v>
      </c>
      <c r="J31" s="147">
        <v>0</v>
      </c>
      <c r="K31" s="148">
        <v>0.03</v>
      </c>
      <c r="L31" s="147">
        <v>0.04</v>
      </c>
      <c r="M31" s="147">
        <v>0.02</v>
      </c>
      <c r="N31" s="147">
        <v>0.03</v>
      </c>
      <c r="O31" s="147">
        <v>0.06</v>
      </c>
      <c r="P31" s="148">
        <v>0.04</v>
      </c>
      <c r="Q31" s="147">
        <v>6.2E-2</v>
      </c>
      <c r="R31" s="147"/>
      <c r="S31" s="149"/>
    </row>
    <row r="32" spans="1:19" ht="12.75" customHeight="1" x14ac:dyDescent="0.2">
      <c r="G32" s="113"/>
      <c r="H32" s="113"/>
      <c r="I32" s="113"/>
      <c r="J32" s="113"/>
      <c r="K32" s="77"/>
      <c r="L32" s="113"/>
      <c r="M32" s="113"/>
      <c r="N32" s="113"/>
      <c r="O32" s="113"/>
      <c r="P32" s="77"/>
      <c r="Q32" s="113"/>
      <c r="R32" s="113"/>
      <c r="S32" s="154"/>
    </row>
    <row r="33" spans="1:19" x14ac:dyDescent="0.2">
      <c r="A33" s="135" t="s">
        <v>223</v>
      </c>
      <c r="B33" s="135"/>
      <c r="G33" s="151"/>
      <c r="H33" s="151"/>
      <c r="I33" s="151"/>
      <c r="J33" s="151"/>
      <c r="K33" s="152"/>
      <c r="L33" s="151"/>
      <c r="M33" s="151"/>
      <c r="N33" s="151"/>
      <c r="O33" s="151"/>
      <c r="P33" s="152"/>
      <c r="Q33" s="151"/>
      <c r="R33" s="151"/>
      <c r="S33" s="153"/>
    </row>
    <row r="34" spans="1:19" s="138" customFormat="1" x14ac:dyDescent="0.2">
      <c r="B34" s="139" t="s">
        <v>130</v>
      </c>
      <c r="G34" s="140">
        <v>793453</v>
      </c>
      <c r="H34" s="140">
        <v>785368</v>
      </c>
      <c r="I34" s="140">
        <v>789384</v>
      </c>
      <c r="J34" s="140">
        <v>788522</v>
      </c>
      <c r="K34" s="141">
        <f>SUM(G34:J34)</f>
        <v>3156727</v>
      </c>
      <c r="L34" s="140">
        <v>836647</v>
      </c>
      <c r="M34" s="140">
        <v>860882</v>
      </c>
      <c r="N34" s="140">
        <v>915297</v>
      </c>
      <c r="O34" s="140">
        <v>964150</v>
      </c>
      <c r="P34" s="141">
        <f>SUM(L34:O34)</f>
        <v>3576976</v>
      </c>
      <c r="Q34" s="140">
        <v>998948</v>
      </c>
      <c r="R34" s="140"/>
      <c r="S34" s="142"/>
    </row>
    <row r="35" spans="1:19" s="138" customFormat="1" x14ac:dyDescent="0.2">
      <c r="B35" s="139" t="s">
        <v>237</v>
      </c>
      <c r="G35" s="140"/>
      <c r="H35" s="159">
        <f>H34/G34-1</f>
        <v>-1.0189639461946731E-2</v>
      </c>
      <c r="I35" s="159">
        <f t="shared" ref="I35" si="18">I34/H34-1</f>
        <v>5.1135263978161483E-3</v>
      </c>
      <c r="J35" s="159">
        <f t="shared" ref="J35" si="19">J34/I34-1</f>
        <v>-1.0919907168120968E-3</v>
      </c>
      <c r="K35" s="141"/>
      <c r="L35" s="159">
        <f>L34/J34-1</f>
        <v>6.1031905260728214E-2</v>
      </c>
      <c r="M35" s="159">
        <f t="shared" ref="M35" si="20">M34/L34-1</f>
        <v>2.8966816351460034E-2</v>
      </c>
      <c r="N35" s="159">
        <f t="shared" ref="N35" si="21">N34/M34-1</f>
        <v>6.3208430423681738E-2</v>
      </c>
      <c r="O35" s="159">
        <f t="shared" ref="O35" si="22">O34/N34-1</f>
        <v>5.3373932177205763E-2</v>
      </c>
      <c r="P35" s="160">
        <f>P34/K34-1</f>
        <v>0.13312807854464448</v>
      </c>
      <c r="Q35" s="159">
        <f>Q34/O34-1</f>
        <v>3.6091894414769454E-2</v>
      </c>
      <c r="R35" s="140"/>
      <c r="S35" s="142"/>
    </row>
    <row r="36" spans="1:19" s="138" customFormat="1" x14ac:dyDescent="0.2">
      <c r="B36" s="139" t="s">
        <v>330</v>
      </c>
      <c r="G36" s="140"/>
      <c r="H36" s="159"/>
      <c r="I36" s="159"/>
      <c r="J36" s="159"/>
      <c r="K36" s="141"/>
      <c r="L36" s="159">
        <f>L34/G34-1</f>
        <v>5.4438007040114478E-2</v>
      </c>
      <c r="M36" s="159">
        <f t="shared" ref="M36" si="23">M34/H34-1</f>
        <v>9.6151103686424655E-2</v>
      </c>
      <c r="N36" s="159">
        <f t="shared" ref="N36" si="24">N34/I34-1</f>
        <v>0.15950792009972337</v>
      </c>
      <c r="O36" s="159">
        <f t="shared" ref="O36:P36" si="25">O34/J34-1</f>
        <v>0.222730627680648</v>
      </c>
      <c r="P36" s="159">
        <f t="shared" si="25"/>
        <v>0.13312807854464448</v>
      </c>
      <c r="Q36" s="159">
        <f>Q34/L34-1</f>
        <v>0.19398981888418887</v>
      </c>
      <c r="R36" s="159">
        <f>AVERAGE(L36:Q36)</f>
        <v>0.14332425932262396</v>
      </c>
      <c r="S36" s="142"/>
    </row>
    <row r="37" spans="1:19" x14ac:dyDescent="0.2">
      <c r="A37" s="135"/>
      <c r="B37" s="143" t="s">
        <v>216</v>
      </c>
      <c r="D37" s="47"/>
      <c r="E37" s="47"/>
      <c r="G37" s="105">
        <v>2901</v>
      </c>
      <c r="H37" s="105">
        <v>1750</v>
      </c>
      <c r="I37" s="105">
        <v>256</v>
      </c>
      <c r="J37" s="105">
        <v>1213</v>
      </c>
      <c r="K37" s="114">
        <f>SUM(G37:J37)</f>
        <v>6120</v>
      </c>
      <c r="L37" s="105">
        <v>357</v>
      </c>
      <c r="M37" s="105">
        <v>764</v>
      </c>
      <c r="N37" s="105">
        <v>330</v>
      </c>
      <c r="O37" s="105">
        <v>973</v>
      </c>
      <c r="P37" s="114">
        <f>SUM(L37:O37)</f>
        <v>2424</v>
      </c>
      <c r="Q37" s="105">
        <v>-351</v>
      </c>
      <c r="R37" s="105"/>
      <c r="S37" s="110"/>
    </row>
    <row r="38" spans="1:19" x14ac:dyDescent="0.2">
      <c r="A38" s="135"/>
      <c r="B38" s="143" t="s">
        <v>217</v>
      </c>
      <c r="D38" s="47"/>
      <c r="E38" s="47"/>
      <c r="G38" s="105">
        <v>34318</v>
      </c>
      <c r="H38" s="105">
        <v>36068</v>
      </c>
      <c r="I38" s="105">
        <v>36324</v>
      </c>
      <c r="J38" s="105">
        <v>37537</v>
      </c>
      <c r="K38" s="114">
        <f>J38</f>
        <v>37537</v>
      </c>
      <c r="L38" s="105">
        <v>37894</v>
      </c>
      <c r="M38" s="105">
        <v>38658</v>
      </c>
      <c r="N38" s="105">
        <v>38988</v>
      </c>
      <c r="O38" s="105">
        <v>39961</v>
      </c>
      <c r="P38" s="114">
        <f>O38</f>
        <v>39961</v>
      </c>
      <c r="Q38" s="105">
        <v>39610</v>
      </c>
      <c r="R38" s="105"/>
      <c r="S38" s="110"/>
    </row>
    <row r="39" spans="1:19" x14ac:dyDescent="0.2">
      <c r="A39" s="135"/>
      <c r="B39" s="143" t="s">
        <v>218</v>
      </c>
      <c r="D39" s="47"/>
      <c r="E39" s="47"/>
      <c r="G39" s="105">
        <v>32868</v>
      </c>
      <c r="H39" s="105">
        <v>35193</v>
      </c>
      <c r="I39" s="105">
        <v>36196</v>
      </c>
      <c r="J39" s="105">
        <v>36931</v>
      </c>
      <c r="K39" s="114">
        <v>35297</v>
      </c>
      <c r="L39" s="105">
        <v>37716</v>
      </c>
      <c r="M39" s="105">
        <v>38276</v>
      </c>
      <c r="N39" s="105">
        <v>38823</v>
      </c>
      <c r="O39" s="105">
        <v>39475</v>
      </c>
      <c r="P39" s="114">
        <v>38573</v>
      </c>
      <c r="Q39" s="105">
        <v>39786</v>
      </c>
      <c r="R39" s="105"/>
      <c r="S39" s="110"/>
    </row>
    <row r="40" spans="1:19" s="138" customFormat="1" x14ac:dyDescent="0.2">
      <c r="B40" s="139" t="s">
        <v>219</v>
      </c>
      <c r="G40" s="144">
        <v>8.0500000000000007</v>
      </c>
      <c r="H40" s="144">
        <v>7.44</v>
      </c>
      <c r="I40" s="144">
        <v>7.27</v>
      </c>
      <c r="J40" s="144">
        <v>7.12</v>
      </c>
      <c r="K40" s="145">
        <v>7.45</v>
      </c>
      <c r="L40" s="144">
        <v>7.39</v>
      </c>
      <c r="M40" s="144">
        <v>7.5</v>
      </c>
      <c r="N40" s="144">
        <v>7.86</v>
      </c>
      <c r="O40" s="144">
        <v>8.14</v>
      </c>
      <c r="P40" s="145">
        <v>7.73</v>
      </c>
      <c r="Q40" s="144">
        <v>8.3699999999999992</v>
      </c>
      <c r="R40" s="144"/>
      <c r="S40" s="146"/>
    </row>
    <row r="41" spans="1:19" s="138" customFormat="1" x14ac:dyDescent="0.2">
      <c r="B41" s="139" t="s">
        <v>220</v>
      </c>
      <c r="G41" s="147">
        <v>0.03</v>
      </c>
      <c r="H41" s="147">
        <v>-0.09</v>
      </c>
      <c r="I41" s="147">
        <v>-0.16</v>
      </c>
      <c r="J41" s="147">
        <v>-0.13</v>
      </c>
      <c r="K41" s="148">
        <v>-0.09</v>
      </c>
      <c r="L41" s="147">
        <v>-0.08</v>
      </c>
      <c r="M41" s="147">
        <v>0.01</v>
      </c>
      <c r="N41" s="147">
        <v>0.08</v>
      </c>
      <c r="O41" s="147">
        <v>0.14000000000000001</v>
      </c>
      <c r="P41" s="148">
        <v>0.04</v>
      </c>
      <c r="Q41" s="147">
        <v>0.13300000000000001</v>
      </c>
      <c r="R41" s="147"/>
      <c r="S41" s="149"/>
    </row>
    <row r="42" spans="1:19" s="138" customFormat="1" x14ac:dyDescent="0.2">
      <c r="B42" s="139" t="s">
        <v>221</v>
      </c>
      <c r="G42" s="147">
        <v>0.12</v>
      </c>
      <c r="H42" s="147">
        <v>0.13</v>
      </c>
      <c r="I42" s="147">
        <v>0.05</v>
      </c>
      <c r="J42" s="147">
        <v>0.04</v>
      </c>
      <c r="K42" s="148">
        <v>0.08</v>
      </c>
      <c r="L42" s="147">
        <v>0.05</v>
      </c>
      <c r="M42" s="147">
        <v>0.02</v>
      </c>
      <c r="N42" s="147">
        <v>0.08</v>
      </c>
      <c r="O42" s="147">
        <v>0.17</v>
      </c>
      <c r="P42" s="148">
        <v>0.08</v>
      </c>
      <c r="Q42" s="147">
        <v>0.2</v>
      </c>
      <c r="R42" s="147"/>
      <c r="S42" s="149"/>
    </row>
    <row r="43" spans="1:19" x14ac:dyDescent="0.2">
      <c r="G43" s="150"/>
      <c r="H43" s="150"/>
      <c r="I43" s="150"/>
      <c r="J43" s="150"/>
      <c r="K43" s="137"/>
      <c r="L43" s="150"/>
      <c r="M43" s="150"/>
      <c r="N43" s="150"/>
      <c r="O43" s="150"/>
      <c r="P43" s="137"/>
      <c r="Q43" s="150"/>
      <c r="R43" s="150"/>
      <c r="S43" s="135"/>
    </row>
    <row r="44" spans="1:19" x14ac:dyDescent="0.2">
      <c r="A44" s="135" t="s">
        <v>224</v>
      </c>
      <c r="B44" s="135"/>
      <c r="G44" s="151"/>
      <c r="H44" s="151"/>
      <c r="I44" s="151"/>
      <c r="J44" s="151"/>
      <c r="K44" s="152"/>
      <c r="L44" s="151"/>
      <c r="M44" s="151"/>
      <c r="N44" s="151"/>
      <c r="O44" s="151"/>
      <c r="P44" s="152"/>
      <c r="Q44" s="151"/>
      <c r="R44" s="151"/>
      <c r="S44" s="153"/>
    </row>
    <row r="45" spans="1:19" s="138" customFormat="1" x14ac:dyDescent="0.2">
      <c r="B45" s="139" t="s">
        <v>130</v>
      </c>
      <c r="G45" s="140">
        <v>483660</v>
      </c>
      <c r="H45" s="140">
        <v>569140</v>
      </c>
      <c r="I45" s="140">
        <v>634891</v>
      </c>
      <c r="J45" s="140">
        <v>684609</v>
      </c>
      <c r="K45" s="141">
        <f>SUM(G45:J45)</f>
        <v>2372300</v>
      </c>
      <c r="L45" s="140">
        <v>762414</v>
      </c>
      <c r="M45" s="140">
        <v>799480</v>
      </c>
      <c r="N45" s="140">
        <v>834002</v>
      </c>
      <c r="O45" s="140">
        <v>870705</v>
      </c>
      <c r="P45" s="141">
        <f>SUM(L45:O45)</f>
        <v>3266601</v>
      </c>
      <c r="Q45" s="140">
        <v>916754</v>
      </c>
      <c r="R45" s="140"/>
      <c r="S45" s="142"/>
    </row>
    <row r="46" spans="1:19" s="138" customFormat="1" x14ac:dyDescent="0.2">
      <c r="B46" s="139" t="s">
        <v>237</v>
      </c>
      <c r="G46" s="140"/>
      <c r="H46" s="159">
        <f>H45/G45-1</f>
        <v>0.17673572344208743</v>
      </c>
      <c r="I46" s="159">
        <f t="shared" ref="I46" si="26">I45/H45-1</f>
        <v>0.11552693537618164</v>
      </c>
      <c r="J46" s="159">
        <f t="shared" ref="J46" si="27">J45/I45-1</f>
        <v>7.8309505096150422E-2</v>
      </c>
      <c r="K46" s="141"/>
      <c r="L46" s="159">
        <f>L45/J45-1</f>
        <v>0.11364881267993843</v>
      </c>
      <c r="M46" s="159">
        <f t="shared" ref="M46" si="28">M45/L45-1</f>
        <v>4.8616630859349419E-2</v>
      </c>
      <c r="N46" s="159">
        <f t="shared" ref="N46" si="29">N45/M45-1</f>
        <v>4.3180567368789724E-2</v>
      </c>
      <c r="O46" s="159">
        <f t="shared" ref="O46" si="30">O45/N45-1</f>
        <v>4.4008287749909503E-2</v>
      </c>
      <c r="P46" s="160">
        <f>P45/K45-1</f>
        <v>0.37697635206339841</v>
      </c>
      <c r="Q46" s="159">
        <f>Q45/O45-1</f>
        <v>5.288702832761949E-2</v>
      </c>
      <c r="R46" s="140"/>
      <c r="S46" s="142"/>
    </row>
    <row r="47" spans="1:19" s="138" customFormat="1" x14ac:dyDescent="0.2">
      <c r="B47" s="139" t="s">
        <v>330</v>
      </c>
      <c r="G47" s="140"/>
      <c r="H47" s="159"/>
      <c r="I47" s="159"/>
      <c r="J47" s="159"/>
      <c r="K47" s="141"/>
      <c r="L47" s="159">
        <f>L45/G45-1</f>
        <v>0.57634288549807722</v>
      </c>
      <c r="M47" s="159">
        <f t="shared" ref="M47" si="31">M45/H45-1</f>
        <v>0.40471588712794748</v>
      </c>
      <c r="N47" s="159">
        <f t="shared" ref="N47" si="32">N45/I45-1</f>
        <v>0.31361446295505835</v>
      </c>
      <c r="O47" s="159">
        <f t="shared" ref="O47" si="33">O45/J45-1</f>
        <v>0.27182815300412355</v>
      </c>
      <c r="P47" s="159"/>
      <c r="Q47" s="159">
        <f>Q45/L45-1</f>
        <v>0.20243594687400801</v>
      </c>
      <c r="R47" s="159">
        <f>AVERAGE(L47:Q47)</f>
        <v>0.35378746709184294</v>
      </c>
      <c r="S47" s="142"/>
    </row>
    <row r="48" spans="1:19" x14ac:dyDescent="0.2">
      <c r="A48" s="135"/>
      <c r="B48" s="143" t="s">
        <v>225</v>
      </c>
      <c r="D48" s="47"/>
      <c r="E48" s="47"/>
      <c r="G48" s="105">
        <v>3602</v>
      </c>
      <c r="H48" s="105">
        <v>2657</v>
      </c>
      <c r="I48" s="105">
        <v>1012</v>
      </c>
      <c r="J48" s="105">
        <v>1988</v>
      </c>
      <c r="K48" s="114">
        <f>SUM(G48:J48)</f>
        <v>9259</v>
      </c>
      <c r="L48" s="105">
        <v>1361</v>
      </c>
      <c r="M48" s="105">
        <v>1022</v>
      </c>
      <c r="N48" s="105">
        <v>2176</v>
      </c>
      <c r="O48" s="105">
        <v>2581</v>
      </c>
      <c r="P48" s="114">
        <f>SUM(L48:O48)</f>
        <v>7140</v>
      </c>
      <c r="Q48" s="105">
        <v>1087</v>
      </c>
      <c r="R48" s="105"/>
      <c r="S48" s="110"/>
    </row>
    <row r="49" spans="1:19" x14ac:dyDescent="0.2">
      <c r="A49" s="135"/>
      <c r="B49" s="143" t="s">
        <v>217</v>
      </c>
      <c r="D49" s="47"/>
      <c r="E49" s="47"/>
      <c r="G49" s="105">
        <v>19835</v>
      </c>
      <c r="H49" s="105">
        <v>22492</v>
      </c>
      <c r="I49" s="105">
        <v>23504</v>
      </c>
      <c r="J49" s="105">
        <v>25492</v>
      </c>
      <c r="K49" s="114">
        <f>J49</f>
        <v>25492</v>
      </c>
      <c r="L49" s="105">
        <v>26853</v>
      </c>
      <c r="M49" s="105">
        <v>27875</v>
      </c>
      <c r="N49" s="105">
        <v>30051</v>
      </c>
      <c r="O49" s="105">
        <v>32632</v>
      </c>
      <c r="P49" s="114">
        <f>O49</f>
        <v>32632</v>
      </c>
      <c r="Q49" s="105">
        <v>33719</v>
      </c>
      <c r="R49" s="105"/>
      <c r="S49" s="110"/>
    </row>
    <row r="50" spans="1:19" x14ac:dyDescent="0.2">
      <c r="A50" s="135"/>
      <c r="B50" s="143" t="s">
        <v>218</v>
      </c>
      <c r="D50" s="47"/>
      <c r="E50" s="47"/>
      <c r="G50" s="105">
        <v>18034</v>
      </c>
      <c r="H50" s="105">
        <v>21164</v>
      </c>
      <c r="I50" s="105">
        <v>22998</v>
      </c>
      <c r="J50" s="105">
        <v>24498</v>
      </c>
      <c r="K50" s="114">
        <v>21674</v>
      </c>
      <c r="L50" s="105">
        <v>26173</v>
      </c>
      <c r="M50" s="105">
        <v>27364</v>
      </c>
      <c r="N50" s="105">
        <v>28963</v>
      </c>
      <c r="O50" s="105">
        <v>31342</v>
      </c>
      <c r="P50" s="114">
        <v>28461</v>
      </c>
      <c r="Q50" s="105">
        <v>33176</v>
      </c>
      <c r="R50" s="105"/>
      <c r="S50" s="110"/>
    </row>
    <row r="51" spans="1:19" s="138" customFormat="1" x14ac:dyDescent="0.2">
      <c r="B51" s="139" t="s">
        <v>219</v>
      </c>
      <c r="G51" s="144">
        <v>8.94</v>
      </c>
      <c r="H51" s="144">
        <v>8.9600000000000009</v>
      </c>
      <c r="I51" s="144">
        <v>9.1999999999999993</v>
      </c>
      <c r="J51" s="144">
        <v>9.32</v>
      </c>
      <c r="K51" s="145">
        <v>9.1199999999999992</v>
      </c>
      <c r="L51" s="144">
        <v>9.7100000000000009</v>
      </c>
      <c r="M51" s="144">
        <v>9.74</v>
      </c>
      <c r="N51" s="144">
        <v>9.6</v>
      </c>
      <c r="O51" s="144">
        <v>9.26</v>
      </c>
      <c r="P51" s="145">
        <v>9.56</v>
      </c>
      <c r="Q51" s="144">
        <v>9.2100000000000009</v>
      </c>
      <c r="R51" s="144"/>
      <c r="S51" s="146"/>
    </row>
    <row r="52" spans="1:19" s="138" customFormat="1" x14ac:dyDescent="0.2">
      <c r="B52" s="139" t="s">
        <v>220</v>
      </c>
      <c r="G52" s="147">
        <v>-0.05</v>
      </c>
      <c r="H52" s="147">
        <v>-0.04</v>
      </c>
      <c r="I52" s="147">
        <v>-0.01</v>
      </c>
      <c r="J52" s="147">
        <v>0.03</v>
      </c>
      <c r="K52" s="148">
        <v>-0.01</v>
      </c>
      <c r="L52" s="147">
        <v>0.09</v>
      </c>
      <c r="M52" s="147">
        <v>0.09</v>
      </c>
      <c r="N52" s="147">
        <v>0.04</v>
      </c>
      <c r="O52" s="147">
        <v>-0.01</v>
      </c>
      <c r="P52" s="148">
        <v>0.05</v>
      </c>
      <c r="Q52" s="147">
        <v>-5.0999999999999997E-2</v>
      </c>
      <c r="R52" s="147"/>
      <c r="S52" s="149"/>
    </row>
    <row r="53" spans="1:19" s="138" customFormat="1" x14ac:dyDescent="0.2">
      <c r="B53" s="139" t="s">
        <v>221</v>
      </c>
      <c r="G53" s="147">
        <v>-0.03</v>
      </c>
      <c r="H53" s="147">
        <v>0.01</v>
      </c>
      <c r="I53" s="147">
        <v>-0.01</v>
      </c>
      <c r="J53" s="147">
        <v>0</v>
      </c>
      <c r="K53" s="148">
        <v>-0.01</v>
      </c>
      <c r="L53" s="147">
        <v>0.03</v>
      </c>
      <c r="M53" s="147">
        <v>0.01</v>
      </c>
      <c r="N53" s="147">
        <v>0.02</v>
      </c>
      <c r="O53" s="147">
        <v>0.02</v>
      </c>
      <c r="P53" s="148">
        <v>0.02</v>
      </c>
      <c r="Q53" s="147">
        <v>0.01</v>
      </c>
      <c r="R53" s="147"/>
      <c r="S53" s="149"/>
    </row>
    <row r="54" spans="1:19" x14ac:dyDescent="0.2">
      <c r="B54" s="155"/>
      <c r="G54" s="150"/>
      <c r="H54" s="150"/>
      <c r="I54" s="150"/>
      <c r="J54" s="150"/>
      <c r="K54" s="135"/>
      <c r="L54" s="150"/>
      <c r="M54" s="150"/>
      <c r="N54" s="150"/>
      <c r="O54" s="150"/>
      <c r="P54" s="135"/>
      <c r="Q54" s="150"/>
      <c r="R54" s="150"/>
      <c r="S54" s="135"/>
    </row>
    <row r="55" spans="1:19" ht="26.1" customHeight="1" x14ac:dyDescent="0.2">
      <c r="A55" s="135"/>
      <c r="F55" s="437" t="s">
        <v>226</v>
      </c>
      <c r="G55" s="437"/>
      <c r="H55" s="437"/>
      <c r="I55" s="437"/>
      <c r="J55" s="437"/>
      <c r="K55" s="437"/>
      <c r="L55" s="437"/>
      <c r="M55" s="437"/>
      <c r="N55" s="437"/>
      <c r="O55" s="437"/>
      <c r="P55" s="437"/>
      <c r="Q55" s="437"/>
      <c r="R55" s="156"/>
      <c r="S55" s="156"/>
    </row>
    <row r="56" spans="1:19" ht="12.75" customHeight="1" x14ac:dyDescent="0.2">
      <c r="A56" s="135"/>
      <c r="F56" s="437" t="s">
        <v>227</v>
      </c>
      <c r="G56" s="437"/>
      <c r="H56" s="437"/>
      <c r="I56" s="437"/>
      <c r="J56" s="437"/>
      <c r="K56" s="437"/>
      <c r="L56" s="437"/>
      <c r="M56" s="437"/>
      <c r="N56" s="437"/>
      <c r="O56" s="437"/>
      <c r="P56" s="437"/>
      <c r="Q56" s="437"/>
      <c r="R56" s="156"/>
      <c r="S56" s="156"/>
    </row>
    <row r="57" spans="1:19" ht="26.25" customHeight="1" x14ac:dyDescent="0.2">
      <c r="B57" s="155"/>
      <c r="F57" s="437" t="s">
        <v>228</v>
      </c>
      <c r="G57" s="437"/>
      <c r="H57" s="437"/>
      <c r="I57" s="437"/>
      <c r="J57" s="437"/>
      <c r="K57" s="437"/>
      <c r="L57" s="437"/>
      <c r="M57" s="437"/>
      <c r="N57" s="437"/>
      <c r="O57" s="437"/>
      <c r="P57" s="437"/>
      <c r="Q57" s="437"/>
      <c r="R57" s="156"/>
      <c r="S57" s="156"/>
    </row>
    <row r="58" spans="1:19" x14ac:dyDescent="0.2">
      <c r="B58" s="155" t="s">
        <v>535</v>
      </c>
      <c r="G58" s="105">
        <f>SUM(G13,G26,G37,G48)</f>
        <v>15766</v>
      </c>
      <c r="H58" s="105">
        <f t="shared" ref="H58:Q58" si="34">SUM(H13,H26,H37,H48)</f>
        <v>10091</v>
      </c>
      <c r="I58" s="105">
        <f t="shared" si="34"/>
        <v>2204</v>
      </c>
      <c r="J58" s="105">
        <f t="shared" si="34"/>
        <v>8512</v>
      </c>
      <c r="K58" s="105">
        <f t="shared" si="34"/>
        <v>36573</v>
      </c>
      <c r="L58" s="105">
        <f t="shared" si="34"/>
        <v>3976</v>
      </c>
      <c r="M58" s="105">
        <f t="shared" si="34"/>
        <v>1541</v>
      </c>
      <c r="N58" s="105">
        <f t="shared" si="34"/>
        <v>4383</v>
      </c>
      <c r="O58" s="105">
        <f t="shared" si="34"/>
        <v>8281</v>
      </c>
      <c r="P58" s="105">
        <f t="shared" si="34"/>
        <v>18181</v>
      </c>
      <c r="Q58" s="105">
        <f t="shared" si="34"/>
        <v>-203</v>
      </c>
      <c r="R58" s="105"/>
      <c r="S58" s="157"/>
    </row>
    <row r="59" spans="1:19" x14ac:dyDescent="0.2">
      <c r="B59" s="158" t="s">
        <v>536</v>
      </c>
      <c r="G59" s="105">
        <f>SUM(G49,G38,G27,G17)</f>
        <v>181703</v>
      </c>
      <c r="H59" s="105">
        <f t="shared" ref="H59:Q59" si="35">SUM(H49,H38,H27,H17)</f>
        <v>191480</v>
      </c>
      <c r="I59" s="105">
        <f t="shared" si="35"/>
        <v>195063</v>
      </c>
      <c r="J59" s="105">
        <f t="shared" si="35"/>
        <v>203236</v>
      </c>
      <c r="K59" s="105">
        <f t="shared" si="35"/>
        <v>201416</v>
      </c>
      <c r="L59" s="105">
        <f t="shared" si="35"/>
        <v>207415</v>
      </c>
      <c r="M59" s="105">
        <f t="shared" si="35"/>
        <v>209397</v>
      </c>
      <c r="N59" s="105">
        <f t="shared" si="35"/>
        <v>213527</v>
      </c>
      <c r="O59" s="105">
        <f t="shared" si="35"/>
        <v>221249</v>
      </c>
      <c r="P59" s="105">
        <f t="shared" si="35"/>
        <v>220863</v>
      </c>
      <c r="Q59" s="105">
        <f t="shared" si="35"/>
        <v>221959</v>
      </c>
      <c r="R59" s="105"/>
      <c r="S59" s="157"/>
    </row>
    <row r="60" spans="1:19" s="47" customFormat="1" x14ac:dyDescent="0.2"/>
    <row r="61" spans="1:19" s="47" customFormat="1" x14ac:dyDescent="0.2"/>
    <row r="62" spans="1:19" s="47" customFormat="1" x14ac:dyDescent="0.2"/>
    <row r="63" spans="1:19" s="47" customFormat="1" x14ac:dyDescent="0.2"/>
    <row r="64" spans="1:19" s="47" customFormat="1" x14ac:dyDescent="0.2"/>
    <row r="65" s="47" customFormat="1" x14ac:dyDescent="0.2"/>
    <row r="66" s="47" customFormat="1" x14ac:dyDescent="0.2"/>
    <row r="67" s="47" customFormat="1" x14ac:dyDescent="0.2"/>
    <row r="68" s="47" customFormat="1" x14ac:dyDescent="0.2"/>
    <row r="69" s="47" customFormat="1" x14ac:dyDescent="0.2"/>
    <row r="70" s="47" customFormat="1" x14ac:dyDescent="0.2"/>
    <row r="71" s="47" customFormat="1" x14ac:dyDescent="0.2"/>
    <row r="72" s="47" customFormat="1" x14ac:dyDescent="0.2"/>
    <row r="73" s="47" customFormat="1" x14ac:dyDescent="0.2"/>
    <row r="74" s="47" customFormat="1" x14ac:dyDescent="0.2"/>
    <row r="75" s="47" customFormat="1" x14ac:dyDescent="0.2"/>
    <row r="76" s="47" customFormat="1" x14ac:dyDescent="0.2"/>
    <row r="77" s="47" customFormat="1" x14ac:dyDescent="0.2"/>
    <row r="78" s="47" customFormat="1" x14ac:dyDescent="0.2"/>
    <row r="79" s="47" customFormat="1" x14ac:dyDescent="0.2"/>
    <row r="80" s="47" customFormat="1" x14ac:dyDescent="0.2"/>
    <row r="81" s="47" customFormat="1" x14ac:dyDescent="0.2"/>
    <row r="82" s="47" customFormat="1" x14ac:dyDescent="0.2"/>
    <row r="83" s="47" customFormat="1" x14ac:dyDescent="0.2"/>
    <row r="84" s="47" customFormat="1" x14ac:dyDescent="0.2"/>
    <row r="85" s="47" customFormat="1" x14ac:dyDescent="0.2"/>
    <row r="86" s="47" customFormat="1" x14ac:dyDescent="0.2"/>
    <row r="87" s="47" customFormat="1" x14ac:dyDescent="0.2"/>
    <row r="88" s="47" customFormat="1" x14ac:dyDescent="0.2"/>
    <row r="89" s="47" customFormat="1" x14ac:dyDescent="0.2"/>
    <row r="90" s="47" customFormat="1" x14ac:dyDescent="0.2"/>
    <row r="91" s="47" customFormat="1" x14ac:dyDescent="0.2"/>
    <row r="92" s="47" customFormat="1" x14ac:dyDescent="0.2"/>
    <row r="93" s="47" customFormat="1" x14ac:dyDescent="0.2"/>
    <row r="94" s="47" customFormat="1" x14ac:dyDescent="0.2"/>
    <row r="95" s="47" customFormat="1" x14ac:dyDescent="0.2"/>
    <row r="96" s="47" customFormat="1" x14ac:dyDescent="0.2"/>
    <row r="97" s="47" customFormat="1" x14ac:dyDescent="0.2"/>
    <row r="98" s="47" customFormat="1" x14ac:dyDescent="0.2"/>
    <row r="99" s="47" customFormat="1" x14ac:dyDescent="0.2"/>
    <row r="100" s="47" customFormat="1" x14ac:dyDescent="0.2"/>
    <row r="101" s="47" customFormat="1" x14ac:dyDescent="0.2"/>
    <row r="102" s="47" customFormat="1" x14ac:dyDescent="0.2"/>
    <row r="103" s="47" customFormat="1" x14ac:dyDescent="0.2"/>
    <row r="104" s="47" customFormat="1" x14ac:dyDescent="0.2"/>
    <row r="105" s="47" customFormat="1" x14ac:dyDescent="0.2"/>
    <row r="106" s="47" customFormat="1" x14ac:dyDescent="0.2"/>
    <row r="107" s="47" customFormat="1" x14ac:dyDescent="0.2"/>
    <row r="108" s="47" customFormat="1" x14ac:dyDescent="0.2"/>
    <row r="109" s="47" customFormat="1" x14ac:dyDescent="0.2"/>
    <row r="110" s="47" customFormat="1" x14ac:dyDescent="0.2"/>
    <row r="111" s="47" customFormat="1" x14ac:dyDescent="0.2"/>
    <row r="112" s="47" customFormat="1" x14ac:dyDescent="0.2"/>
    <row r="113" s="47" customFormat="1" x14ac:dyDescent="0.2"/>
    <row r="114" s="47" customFormat="1" x14ac:dyDescent="0.2"/>
    <row r="115" s="47" customFormat="1" x14ac:dyDescent="0.2"/>
    <row r="116" s="47" customFormat="1" x14ac:dyDescent="0.2"/>
    <row r="117" s="47" customFormat="1" x14ac:dyDescent="0.2"/>
    <row r="118" s="47" customFormat="1" x14ac:dyDescent="0.2"/>
    <row r="119" s="47" customFormat="1" x14ac:dyDescent="0.2"/>
    <row r="120" s="47" customFormat="1" x14ac:dyDescent="0.2"/>
    <row r="121" s="47" customFormat="1" x14ac:dyDescent="0.2"/>
    <row r="122" s="47" customFormat="1" x14ac:dyDescent="0.2"/>
    <row r="123" s="47" customFormat="1" x14ac:dyDescent="0.2"/>
    <row r="124" s="47" customFormat="1" x14ac:dyDescent="0.2"/>
    <row r="125" s="47" customFormat="1" x14ac:dyDescent="0.2"/>
    <row r="126" s="47" customFormat="1" x14ac:dyDescent="0.2"/>
    <row r="127" s="47" customFormat="1" x14ac:dyDescent="0.2"/>
    <row r="128" s="47" customFormat="1" x14ac:dyDescent="0.2"/>
    <row r="129" s="47" customFormat="1" x14ac:dyDescent="0.2"/>
    <row r="130" s="47" customFormat="1" x14ac:dyDescent="0.2"/>
    <row r="131" s="47" customFormat="1" x14ac:dyDescent="0.2"/>
    <row r="132" s="47" customFormat="1" x14ac:dyDescent="0.2"/>
    <row r="133" s="47" customFormat="1" x14ac:dyDescent="0.2"/>
    <row r="134" s="47" customFormat="1" x14ac:dyDescent="0.2"/>
    <row r="135" s="47" customFormat="1" x14ac:dyDescent="0.2"/>
    <row r="136" s="47" customFormat="1" x14ac:dyDescent="0.2"/>
    <row r="137" s="47" customFormat="1" x14ac:dyDescent="0.2"/>
    <row r="138" s="47" customFormat="1" x14ac:dyDescent="0.2"/>
    <row r="139" s="47" customFormat="1" x14ac:dyDescent="0.2"/>
    <row r="140" s="47" customFormat="1" x14ac:dyDescent="0.2"/>
    <row r="141" s="47" customFormat="1" x14ac:dyDescent="0.2"/>
    <row r="142" s="47" customFormat="1" x14ac:dyDescent="0.2"/>
    <row r="143" s="47" customFormat="1" x14ac:dyDescent="0.2"/>
    <row r="144" s="47" customFormat="1" x14ac:dyDescent="0.2"/>
    <row r="145" s="47" customFormat="1" x14ac:dyDescent="0.2"/>
    <row r="146" s="47" customFormat="1" x14ac:dyDescent="0.2"/>
    <row r="147" s="47" customFormat="1" x14ac:dyDescent="0.2"/>
    <row r="148" s="47" customFormat="1" x14ac:dyDescent="0.2"/>
    <row r="149" s="47" customFormat="1" x14ac:dyDescent="0.2"/>
    <row r="150" s="47" customFormat="1" x14ac:dyDescent="0.2"/>
    <row r="151" s="47" customFormat="1" x14ac:dyDescent="0.2"/>
    <row r="152" s="47" customFormat="1" x14ac:dyDescent="0.2"/>
    <row r="153" s="47" customFormat="1" x14ac:dyDescent="0.2"/>
    <row r="154" s="47" customFormat="1" x14ac:dyDescent="0.2"/>
    <row r="155" s="47" customFormat="1" x14ac:dyDescent="0.2"/>
    <row r="156" s="47" customFormat="1" x14ac:dyDescent="0.2"/>
    <row r="157" s="47" customFormat="1" x14ac:dyDescent="0.2"/>
    <row r="158" s="47" customFormat="1" x14ac:dyDescent="0.2"/>
    <row r="159" s="47" customFormat="1" x14ac:dyDescent="0.2"/>
    <row r="160" s="47" customFormat="1" x14ac:dyDescent="0.2"/>
    <row r="161" s="47" customFormat="1" x14ac:dyDescent="0.2"/>
    <row r="162" s="47" customFormat="1" x14ac:dyDescent="0.2"/>
    <row r="163" s="47" customFormat="1" x14ac:dyDescent="0.2"/>
    <row r="164" s="47" customFormat="1" x14ac:dyDescent="0.2"/>
    <row r="165" s="47" customFormat="1" x14ac:dyDescent="0.2"/>
    <row r="166" s="47" customFormat="1" x14ac:dyDescent="0.2"/>
    <row r="167" s="47" customFormat="1" x14ac:dyDescent="0.2"/>
    <row r="168" s="47" customFormat="1" x14ac:dyDescent="0.2"/>
    <row r="169" s="47" customFormat="1" x14ac:dyDescent="0.2"/>
    <row r="170" s="47" customFormat="1" x14ac:dyDescent="0.2"/>
    <row r="171" s="47" customFormat="1" x14ac:dyDescent="0.2"/>
    <row r="172" s="47" customFormat="1" x14ac:dyDescent="0.2"/>
    <row r="173" s="47" customFormat="1" x14ac:dyDescent="0.2"/>
    <row r="174" s="47" customFormat="1" x14ac:dyDescent="0.2"/>
    <row r="175" s="47" customFormat="1" x14ac:dyDescent="0.2"/>
    <row r="176" s="47" customFormat="1" x14ac:dyDescent="0.2"/>
    <row r="177" s="47" customFormat="1" x14ac:dyDescent="0.2"/>
    <row r="178" s="47" customFormat="1" x14ac:dyDescent="0.2"/>
    <row r="179" s="47" customFormat="1" x14ac:dyDescent="0.2"/>
    <row r="180" s="47" customFormat="1" x14ac:dyDescent="0.2"/>
    <row r="181" s="47" customFormat="1" x14ac:dyDescent="0.2"/>
    <row r="182" s="47" customFormat="1" x14ac:dyDescent="0.2"/>
    <row r="183" s="47" customFormat="1" x14ac:dyDescent="0.2"/>
    <row r="184" s="47" customFormat="1" x14ac:dyDescent="0.2"/>
    <row r="185" s="47" customFormat="1" x14ac:dyDescent="0.2"/>
    <row r="186" s="47" customFormat="1" x14ac:dyDescent="0.2"/>
    <row r="187" s="47" customFormat="1" x14ac:dyDescent="0.2"/>
    <row r="188" s="47" customFormat="1" x14ac:dyDescent="0.2"/>
    <row r="189" s="47" customFormat="1" x14ac:dyDescent="0.2"/>
  </sheetData>
  <mergeCells count="6">
    <mergeCell ref="F57:Q57"/>
    <mergeCell ref="A4:F4"/>
    <mergeCell ref="G5:J5"/>
    <mergeCell ref="L5:O5"/>
    <mergeCell ref="F55:Q55"/>
    <mergeCell ref="F56:Q56"/>
  </mergeCells>
  <conditionalFormatting sqref="H46:Q46">
    <cfRule type="colorScale" priority="14">
      <colorScale>
        <cfvo type="min"/>
        <cfvo type="percentile" val="50"/>
        <cfvo type="max"/>
        <color rgb="FFF8696B"/>
        <color rgb="FFFFEB84"/>
        <color rgb="FF63BE7B"/>
      </colorScale>
    </cfRule>
  </conditionalFormatting>
  <conditionalFormatting sqref="H35:Q35">
    <cfRule type="colorScale" priority="13">
      <colorScale>
        <cfvo type="min"/>
        <cfvo type="percentile" val="50"/>
        <cfvo type="max"/>
        <color rgb="FFF8696B"/>
        <color rgb="FFFFEB84"/>
        <color rgb="FF63BE7B"/>
      </colorScale>
    </cfRule>
  </conditionalFormatting>
  <conditionalFormatting sqref="H24:Q24">
    <cfRule type="colorScale" priority="12">
      <colorScale>
        <cfvo type="min"/>
        <cfvo type="percentile" val="50"/>
        <cfvo type="max"/>
        <color rgb="FFF8696B"/>
        <color rgb="FFFFEB84"/>
        <color rgb="FF63BE7B"/>
      </colorScale>
    </cfRule>
  </conditionalFormatting>
  <conditionalFormatting sqref="H11:Q12">
    <cfRule type="colorScale" priority="11">
      <colorScale>
        <cfvo type="min"/>
        <cfvo type="percentile" val="50"/>
        <cfvo type="max"/>
        <color rgb="FFF8696B"/>
        <color rgb="FFFFEB84"/>
        <color rgb="FF63BE7B"/>
      </colorScale>
    </cfRule>
  </conditionalFormatting>
  <conditionalFormatting sqref="H14:Q14">
    <cfRule type="colorScale" priority="10">
      <colorScale>
        <cfvo type="min"/>
        <cfvo type="percentile" val="50"/>
        <cfvo type="max"/>
        <color rgb="FFF8696B"/>
        <color rgb="FFFFEB84"/>
        <color rgb="FF63BE7B"/>
      </colorScale>
    </cfRule>
  </conditionalFormatting>
  <conditionalFormatting sqref="L15:O15">
    <cfRule type="colorScale" priority="9">
      <colorScale>
        <cfvo type="min"/>
        <cfvo type="percentile" val="50"/>
        <cfvo type="max"/>
        <color rgb="FFF8696B"/>
        <color rgb="FFFFEB84"/>
        <color rgb="FF63BE7B"/>
      </colorScale>
    </cfRule>
  </conditionalFormatting>
  <conditionalFormatting sqref="P15">
    <cfRule type="colorScale" priority="8">
      <colorScale>
        <cfvo type="min"/>
        <cfvo type="percentile" val="50"/>
        <cfvo type="max"/>
        <color rgb="FFF8696B"/>
        <color rgb="FFFFEB84"/>
        <color rgb="FF63BE7B"/>
      </colorScale>
    </cfRule>
  </conditionalFormatting>
  <conditionalFormatting sqref="Q15">
    <cfRule type="colorScale" priority="7">
      <colorScale>
        <cfvo type="min"/>
        <cfvo type="percentile" val="50"/>
        <cfvo type="max"/>
        <color rgb="FFF8696B"/>
        <color rgb="FFFFEB84"/>
        <color rgb="FF63BE7B"/>
      </colorScale>
    </cfRule>
  </conditionalFormatting>
  <conditionalFormatting sqref="L15:Q15">
    <cfRule type="colorScale" priority="6">
      <colorScale>
        <cfvo type="min"/>
        <cfvo type="percentile" val="50"/>
        <cfvo type="max"/>
        <color rgb="FFF8696B"/>
        <color rgb="FFFFEB84"/>
        <color rgb="FF63BE7B"/>
      </colorScale>
    </cfRule>
  </conditionalFormatting>
  <conditionalFormatting sqref="H25:Q25">
    <cfRule type="colorScale" priority="5">
      <colorScale>
        <cfvo type="min"/>
        <cfvo type="percentile" val="50"/>
        <cfvo type="max"/>
        <color rgb="FFF8696B"/>
        <color rgb="FFFFEB84"/>
        <color rgb="FF63BE7B"/>
      </colorScale>
    </cfRule>
  </conditionalFormatting>
  <conditionalFormatting sqref="H36:O36 Q36">
    <cfRule type="colorScale" priority="4">
      <colorScale>
        <cfvo type="min"/>
        <cfvo type="percentile" val="50"/>
        <cfvo type="max"/>
        <color rgb="FFF8696B"/>
        <color rgb="FFFFEB84"/>
        <color rgb="FF63BE7B"/>
      </colorScale>
    </cfRule>
  </conditionalFormatting>
  <conditionalFormatting sqref="H47:Q47">
    <cfRule type="colorScale" priority="3">
      <colorScale>
        <cfvo type="min"/>
        <cfvo type="percentile" val="50"/>
        <cfvo type="max"/>
        <color rgb="FFF8696B"/>
        <color rgb="FFFFEB84"/>
        <color rgb="FF63BE7B"/>
      </colorScale>
    </cfRule>
  </conditionalFormatting>
  <conditionalFormatting sqref="P36">
    <cfRule type="colorScale" priority="1">
      <colorScale>
        <cfvo type="min"/>
        <cfvo type="percentile" val="50"/>
        <cfvo type="max"/>
        <color rgb="FFF8696B"/>
        <color rgb="FFFFEB84"/>
        <color rgb="FF63BE7B"/>
      </colorScale>
    </cfRule>
  </conditionalFormatting>
  <pageMargins left="0.28000000000000003" right="0.23" top="0.23" bottom="0.17" header="0.17" footer="0.17"/>
  <pageSetup scale="41"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50970-93A5-4F39-8474-FB10542E4F5B}">
  <dimension ref="A1:B3"/>
  <sheetViews>
    <sheetView workbookViewId="0">
      <selection activeCell="C15" sqref="C15"/>
    </sheetView>
  </sheetViews>
  <sheetFormatPr defaultRowHeight="14.25" x14ac:dyDescent="0.2"/>
  <cols>
    <col min="1" max="1" width="12.7109375" style="175" bestFit="1" customWidth="1"/>
    <col min="2" max="2" width="8.28515625" style="175" bestFit="1" customWidth="1"/>
    <col min="3" max="16384" width="9.140625" style="175"/>
  </cols>
  <sheetData>
    <row r="1" spans="1:2" x14ac:dyDescent="0.2">
      <c r="A1" s="362" t="s">
        <v>235</v>
      </c>
      <c r="B1" s="362" t="s">
        <v>80</v>
      </c>
    </row>
    <row r="2" spans="1:2" x14ac:dyDescent="0.2">
      <c r="A2" s="362" t="s">
        <v>233</v>
      </c>
      <c r="B2" s="362" t="s">
        <v>49</v>
      </c>
    </row>
    <row r="3" spans="1:2" x14ac:dyDescent="0.2">
      <c r="A3" s="362" t="s">
        <v>236</v>
      </c>
      <c r="B3" s="36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vt:lpstr>
      <vt:lpstr>Comps</vt:lpstr>
      <vt:lpstr>DCF Model</vt:lpstr>
      <vt:lpstr>APAC Forecasts</vt:lpstr>
      <vt:lpstr>LATAM Forecasts</vt:lpstr>
      <vt:lpstr>EMEA Forecasts</vt:lpstr>
      <vt:lpstr>UCAN Forecasts</vt:lpstr>
      <vt:lpstr>Capex Forecasts</vt:lpstr>
      <vt:lpstr>PP&amp;E Forecasts</vt:lpstr>
      <vt:lpstr>Content Assets Forecast</vt:lpstr>
      <vt:lpstr>D&amp;A Forecasts</vt:lpstr>
      <vt:lpstr>Taxes Forecasts</vt:lpstr>
      <vt:lpstr>SGA Forecasts</vt:lpstr>
      <vt:lpstr>Tech and Dev Forecasts</vt:lpstr>
      <vt:lpstr>Marketing Forecasts</vt:lpstr>
      <vt:lpstr>COR Forecasts</vt:lpstr>
      <vt:lpstr>Revenue Forecasts</vt:lpstr>
      <vt:lpstr>Households by country</vt:lpstr>
      <vt:lpstr>DCF Data</vt:lpstr>
      <vt:lpstr>Peers Correlation</vt:lpstr>
      <vt:lpstr>Market Correlation</vt:lpstr>
      <vt:lpstr>CPI Correlation</vt:lpstr>
      <vt:lpstr>monthly pivot</vt:lpstr>
      <vt:lpstr>monthly</vt:lpstr>
      <vt:lpstr>Price History vs Q sub addition</vt:lpstr>
      <vt:lpstr>Income Statement</vt:lpstr>
      <vt:lpstr>Balance Sheet</vt:lpstr>
      <vt:lpstr>Cashflow</vt:lpstr>
      <vt:lpstr>Regional Information</vt:lpstr>
      <vt:lpstr>misc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Perves Mohammed</dc:creator>
  <cp:lastModifiedBy>Mohammed Perves</cp:lastModifiedBy>
  <dcterms:created xsi:type="dcterms:W3CDTF">2022-04-18T12:49:24Z</dcterms:created>
  <dcterms:modified xsi:type="dcterms:W3CDTF">2023-03-05T19:22:59Z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86574f86-d429-4310-a77e-bc2a3614497f</vt:lpwstr>
  </property>
</Properties>
</file>